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2015" sheetId="1" r:id="rId1"/>
    <sheet name="2016-2017" sheetId="2" r:id="rId2"/>
  </sheets>
  <definedNames>
    <definedName name="_xlnm._FilterDatabase" localSheetId="0" hidden="1">'2015'!$A$8:$P$551</definedName>
    <definedName name="_xlnm.Print_Titles" localSheetId="0">'2015'!$8:$8</definedName>
    <definedName name="_xlnm.Print_Titles" localSheetId="1">'2016-2017'!$8:$9</definedName>
    <definedName name="_xlnm.Print_Area" localSheetId="0">'2015'!$A$1:$H$551</definedName>
    <definedName name="_xlnm.Print_Area" localSheetId="1">'2016-2017'!$A$1:$I$484</definedName>
  </definedNames>
  <calcPr fullCalcOnLoad="1"/>
</workbook>
</file>

<file path=xl/sharedStrings.xml><?xml version="1.0" encoding="utf-8"?>
<sst xmlns="http://schemas.openxmlformats.org/spreadsheetml/2006/main" count="3627" uniqueCount="360">
  <si>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</si>
  <si>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</si>
  <si>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</si>
  <si>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</si>
  <si>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</si>
  <si>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</si>
  <si>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</si>
  <si>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</si>
  <si>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</si>
  <si>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</si>
  <si>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</si>
  <si>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</si>
  <si>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</si>
  <si>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</si>
  <si>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</si>
  <si>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</si>
  <si>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</si>
  <si>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</si>
  <si>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</si>
  <si>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</si>
  <si>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</si>
  <si>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</si>
  <si>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</si>
  <si>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</si>
  <si>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</si>
  <si>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</si>
  <si>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</si>
  <si>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</si>
  <si>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</si>
  <si>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</si>
  <si>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</si>
  <si>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</si>
  <si>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</si>
  <si>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</si>
  <si>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</si>
  <si>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</si>
  <si>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</si>
  <si>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</si>
  <si>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</si>
  <si>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</si>
  <si>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</si>
  <si>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</si>
  <si>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</si>
  <si>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</si>
  <si>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</si>
  <si>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</si>
  <si>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</si>
  <si>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</si>
  <si>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</si>
  <si>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</si>
  <si>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</si>
  <si>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</si>
  <si>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</si>
  <si>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</si>
  <si>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</si>
  <si>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</si>
  <si>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</si>
  <si>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</si>
  <si>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</si>
  <si>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</si>
  <si>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</si>
  <si>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</si>
  <si>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</si>
  <si>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</si>
  <si>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</si>
  <si>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</si>
  <si>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</si>
  <si>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</si>
  <si>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</si>
  <si>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</si>
  <si>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</si>
  <si>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</si>
  <si>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</si>
  <si>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</si>
  <si>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</si>
  <si>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</si>
  <si>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</si>
  <si>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</si>
  <si>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</si>
  <si>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</si>
  <si>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</si>
  <si>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</si>
  <si>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</si>
  <si>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</si>
  <si>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</si>
  <si>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</si>
  <si>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</si>
  <si>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</si>
  <si>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</si>
  <si>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</si>
  <si>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</si>
  <si>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</si>
  <si>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</si>
  <si>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</si>
  <si>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</si>
  <si>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</si>
  <si>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</si>
  <si>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</si>
  <si>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</si>
  <si>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</si>
  <si>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</si>
  <si>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</si>
  <si>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</si>
  <si>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</si>
  <si>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</si>
  <si>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</si>
  <si>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</si>
  <si>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</si>
  <si>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</si>
  <si>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</si>
  <si>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</si>
  <si>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</si>
  <si>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</si>
  <si>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</si>
  <si>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</si>
  <si>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</si>
  <si>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</si>
  <si>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</si>
  <si>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</si>
  <si>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</si>
  <si>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</si>
  <si>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</si>
  <si>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</si>
  <si>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</si>
  <si>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</si>
  <si>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</si>
  <si>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</si>
  <si>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</si>
  <si>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</si>
  <si>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</si>
  <si>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</si>
  <si>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</si>
  <si>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</si>
  <si>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</si>
  <si>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</si>
  <si>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</si>
  <si>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</si>
  <si>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</si>
  <si>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</si>
  <si>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</si>
  <si>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</si>
  <si>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</si>
  <si>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</si>
  <si>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</si>
  <si>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</si>
  <si>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</si>
  <si>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</si>
  <si>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</si>
  <si>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</si>
  <si>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</si>
  <si>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</si>
  <si>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</si>
  <si>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</si>
  <si>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</si>
  <si>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</si>
  <si>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</si>
  <si>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</si>
  <si>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</si>
  <si>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</si>
  <si>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</si>
  <si>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</si>
  <si>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</si>
  <si>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</si>
  <si>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</si>
  <si>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</si>
  <si>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</si>
  <si>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</si>
  <si>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</si>
  <si>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</si>
  <si>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</si>
  <si>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</si>
  <si>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</si>
  <si>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</si>
  <si>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</si>
  <si>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</si>
  <si>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</si>
  <si>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</si>
  <si>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</si>
  <si>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</si>
  <si>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</si>
  <si>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</si>
  <si>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</si>
  <si>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</si>
  <si>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</si>
  <si>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</si>
  <si>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</si>
  <si>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</si>
  <si>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</si>
  <si>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</si>
  <si>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</si>
  <si>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</si>
  <si>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</si>
  <si>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</si>
  <si>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</si>
  <si>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</si>
  <si>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</si>
  <si>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</si>
  <si>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</si>
  <si>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</si>
  <si>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</si>
  <si>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</si>
  <si>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</si>
  <si>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</si>
  <si>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</si>
  <si>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</si>
  <si>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</si>
  <si>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</si>
  <si>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</si>
  <si>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</si>
  <si>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</si>
  <si>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</si>
  <si>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</si>
  <si>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</si>
  <si>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</si>
  <si>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</si>
  <si>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</si>
  <si>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</si>
  <si>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</si>
  <si>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</si>
  <si>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</si>
  <si>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</si>
  <si>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</si>
  <si>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</si>
  <si>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</si>
  <si>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</si>
  <si>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</si>
  <si>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</si>
  <si>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</si>
  <si>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</si>
  <si>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</si>
  <si>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</si>
  <si>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</si>
  <si>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</si>
  <si>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</si>
  <si>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</si>
  <si>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</si>
  <si>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</si>
  <si>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</si>
  <si>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</si>
  <si>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</si>
  <si>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</si>
  <si>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</si>
  <si>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</si>
  <si>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</si>
  <si>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</si>
  <si>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</si>
  <si>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</si>
  <si>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</si>
  <si>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</si>
  <si>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</si>
  <si>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</si>
  <si>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</si>
  <si>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</si>
  <si>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</si>
  <si>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</si>
  <si>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</si>
  <si>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</si>
  <si>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</si>
  <si>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</si>
  <si>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</si>
  <si>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</si>
  <si>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</si>
  <si>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</si>
  <si>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</si>
  <si>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</si>
  <si>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</si>
  <si>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</si>
  <si>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</si>
  <si>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</si>
  <si>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</si>
  <si>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</si>
  <si>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</si>
  <si>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</si>
  <si>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</si>
  <si>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</si>
  <si>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</si>
  <si>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</si>
  <si>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</si>
  <si>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</si>
  <si>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</si>
  <si>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</si>
  <si>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</si>
  <si>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</si>
  <si>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</si>
  <si>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</si>
  <si>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</si>
  <si>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</si>
  <si>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</si>
  <si>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</si>
  <si>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</si>
  <si>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</si>
  <si>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</si>
  <si>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</si>
  <si>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</si>
  <si>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</si>
  <si>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</si>
  <si>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</si>
  <si>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</si>
  <si>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</si>
  <si>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</si>
  <si>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</si>
  <si>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</si>
  <si>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</si>
  <si>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</si>
  <si>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</si>
  <si>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</si>
  <si>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</si>
  <si>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</si>
  <si>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</si>
  <si>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</si>
  <si>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</si>
  <si>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</si>
  <si>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</si>
  <si>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</si>
  <si>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</si>
  <si>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</si>
  <si>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</si>
  <si>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</si>
  <si>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</si>
  <si>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</si>
  <si>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</si>
  <si>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</si>
  <si>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</si>
  <si>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</si>
  <si>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</si>
  <si>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</si>
  <si>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</si>
  <si>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</si>
  <si>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</si>
  <si>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</si>
  <si>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</si>
  <si>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</si>
  <si>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</si>
  <si>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</si>
  <si>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</si>
  <si>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</si>
  <si>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</si>
  <si>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</si>
  <si>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</si>
  <si>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</si>
  <si>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</si>
  <si>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</si>
  <si>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</si>
  <si>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</si>
  <si>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</si>
  <si>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</si>
  <si>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</si>
  <si>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</si>
  <si>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</si>
  <si>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75 1 2999</t>
  </si>
  <si>
    <t>71 2 2024</t>
  </si>
  <si>
    <t>Сельское хозяйство и рыболовство</t>
  </si>
  <si>
    <t>83 3 0821</t>
  </si>
  <si>
    <t xml:space="preserve"> Расходы на единовременное поощрение за многолетнюю безупречную муниципальную службу, выплачиваемое муниципальным служащим</t>
  </si>
  <si>
    <t>70 5 0821</t>
  </si>
  <si>
    <t>75 1 2022</t>
  </si>
  <si>
    <t>к  решению Совета депутатов ЗАТО Видяево</t>
  </si>
  <si>
    <t>от 25 декабря 2015 № 334</t>
  </si>
  <si>
    <t>к  решению Совета депутатов ЗАТО Видяево О внесении изменений в решение Совета депутатов ЗАТО Видяево от 18.12.2015 № 251</t>
  </si>
  <si>
    <t>от 25.12.2015 № 334</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</si>
</sst>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62">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60" fillId="31" borderId="0" applyNumberFormat="0" applyBorder="0" applyAlignment="0" applyProtection="0"/>
  </cellStyleXfs>
  <cellXfs count="99">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4" fillId="33" borderId="0" xfId="0" applyFont="1" applyFill="1" applyBorder="1" applyAlignment="1">
      <alignment horizontal="left" vertical="center" wrapText="1"/>
    </xf>
    <xf numFmtId="0" fontId="61" fillId="0" borderId="0" xfId="0" applyFont="1" applyFill="1" applyAlignment="1">
      <alignment vertical="top" wrapText="1"/>
    </xf>
    <xf numFmtId="0" fontId="3" fillId="0" borderId="0" xfId="0" applyFont="1" applyFill="1" applyAlignment="1">
      <alignment vertical="top" wrapText="1"/>
    </xf>
    <xf numFmtId="0" fontId="15" fillId="0" borderId="0" xfId="0" applyFont="1" applyFill="1" applyAlignment="1">
      <alignment vertical="top" wrapText="1"/>
    </xf>
    <xf numFmtId="0" fontId="10" fillId="0" borderId="0" xfId="0" applyFont="1" applyFill="1" applyAlignment="1">
      <alignment vertical="top" wrapText="1"/>
    </xf>
    <xf numFmtId="0" fontId="4" fillId="0" borderId="0" xfId="0" applyFont="1" applyFill="1" applyAlignment="1">
      <alignment vertical="top" wrapText="1"/>
    </xf>
    <xf numFmtId="0" fontId="10" fillId="32" borderId="0" xfId="0" applyFont="1" applyFill="1" applyAlignment="1">
      <alignment vertical="top"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72"/>
  <sheetViews>
    <sheetView view="pageBreakPreview" zoomScale="75" zoomScaleNormal="75" zoomScaleSheetLayoutView="75" zoomScalePageLayoutView="0" workbookViewId="0" topLeftCell="A1">
      <selection activeCell="A5" sqref="A5:G5"/>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77" customWidth="1"/>
  </cols>
  <sheetData>
    <row r="1" spans="1:7" ht="15" customHeight="1">
      <c r="D1" s="83" t="s">
        <v>280</v>
      </c>
      <c r="E1" s="83"/>
      <c r="F1" s="83"/>
      <c r="G1" s="83"/>
    </row>
    <row r="2" spans="4:7" ht="15" customHeight="1">
      <c r="D2" s="86" t="s">
        <v>356</v>
      </c>
      <c r="E2" s="86"/>
      <c r="F2" s="86"/>
      <c r="G2" s="86"/>
    </row>
    <row r="3" spans="1:9" ht="48" customHeight="1">
      <c r="A3" s="5" t="s">
        <v>243</v>
      </c>
      <c r="B3" s="88" t="s">
        <v>338</v>
      </c>
      <c r="C3" s="89"/>
      <c r="D3" s="89"/>
      <c r="E3" s="89"/>
      <c r="F3" s="89"/>
      <c r="G3" s="89"/>
      <c r="H3" s="75"/>
      <c r="I3" s="75"/>
    </row>
    <row r="4" spans="1:7" ht="18" customHeight="1">
      <c r="A4" s="5" t="s">
        <v>243</v>
      </c>
      <c r="B4" s="9"/>
      <c r="C4" s="28"/>
      <c r="D4" s="87" t="s">
        <v>357</v>
      </c>
      <c r="E4" s="87"/>
      <c r="F4" s="87"/>
      <c r="G4" s="87"/>
    </row>
    <row r="5" spans="1:7" ht="64.5" customHeight="1">
      <c r="A5" s="85" t="s">
        <v>311</v>
      </c>
      <c r="B5" s="85"/>
      <c r="C5" s="85"/>
      <c r="D5" s="85"/>
      <c r="E5" s="85"/>
      <c r="F5" s="85"/>
      <c r="G5" s="85"/>
    </row>
    <row r="6" spans="1:7" ht="15.75">
      <c r="A6" s="1"/>
      <c r="B6" s="6"/>
      <c r="C6" s="29"/>
      <c r="D6" s="29"/>
      <c r="E6" s="29"/>
      <c r="F6" s="42"/>
      <c r="G6" s="42"/>
    </row>
    <row r="7" spans="1:7" ht="16.5" thickBot="1">
      <c r="A7" s="2" t="s">
        <v>243</v>
      </c>
      <c r="B7" s="10" t="s">
        <v>243</v>
      </c>
      <c r="C7" s="84" t="s">
        <v>244</v>
      </c>
      <c r="D7" s="84"/>
      <c r="E7" s="84"/>
      <c r="F7" s="84"/>
      <c r="G7" s="84"/>
    </row>
    <row r="8" spans="1:7" ht="42.75" customHeight="1" thickBot="1">
      <c r="A8" s="65" t="s">
        <v>245</v>
      </c>
      <c r="B8" s="66" t="s">
        <v>246</v>
      </c>
      <c r="C8" s="67" t="s">
        <v>247</v>
      </c>
      <c r="D8" s="67" t="s">
        <v>248</v>
      </c>
      <c r="E8" s="67" t="s">
        <v>249</v>
      </c>
      <c r="F8" s="68" t="s">
        <v>250</v>
      </c>
      <c r="G8" s="69" t="s">
        <v>297</v>
      </c>
    </row>
    <row r="9" spans="1:7" ht="31.5">
      <c r="A9" s="17" t="s">
        <v>180</v>
      </c>
      <c r="B9" s="18" t="s">
        <v>10</v>
      </c>
      <c r="C9" s="30" t="s">
        <v>243</v>
      </c>
      <c r="D9" s="30" t="s">
        <v>243</v>
      </c>
      <c r="E9" s="30" t="s">
        <v>243</v>
      </c>
      <c r="F9" s="43">
        <f>F10+F70+F75+F83+F95+F125+F133</f>
        <v>196487490.44000003</v>
      </c>
      <c r="G9" s="43">
        <f>G10+G70+G75+G83+G95+G125+G133</f>
        <v>111368900</v>
      </c>
    </row>
    <row r="10" spans="1:7" ht="31.5">
      <c r="A10" s="19" t="s">
        <v>11</v>
      </c>
      <c r="B10" s="18" t="s">
        <v>12</v>
      </c>
      <c r="C10" s="30" t="s">
        <v>243</v>
      </c>
      <c r="D10" s="30" t="s">
        <v>243</v>
      </c>
      <c r="E10" s="30" t="s">
        <v>243</v>
      </c>
      <c r="F10" s="43">
        <f>F11+F16+F20+F24+F28+F41+F46+F50+F54+F58+F62+F66+F32+F37</f>
        <v>164366805.17000002</v>
      </c>
      <c r="G10" s="43">
        <f>G11+G16+G20+G24+G28+G41+G46+G50+G54+G58+G62+G66+G32+G37</f>
        <v>110230700</v>
      </c>
    </row>
    <row r="11" spans="1:7" ht="63">
      <c r="A11" s="20" t="s">
        <v>14</v>
      </c>
      <c r="B11" s="21" t="s">
        <v>13</v>
      </c>
      <c r="C11" s="31" t="s">
        <v>243</v>
      </c>
      <c r="D11" s="31" t="s">
        <v>243</v>
      </c>
      <c r="E11" s="31" t="s">
        <v>243</v>
      </c>
      <c r="F11" s="44">
        <f>F12</f>
        <v>49577605.17</v>
      </c>
      <c r="G11" s="44">
        <f>G12</f>
        <v>0</v>
      </c>
    </row>
    <row r="12" spans="1:7" ht="31.5">
      <c r="A12" s="20" t="s">
        <v>251</v>
      </c>
      <c r="B12" s="21" t="s">
        <v>13</v>
      </c>
      <c r="C12" s="31" t="s">
        <v>252</v>
      </c>
      <c r="D12" s="31" t="s">
        <v>243</v>
      </c>
      <c r="E12" s="31" t="s">
        <v>243</v>
      </c>
      <c r="F12" s="44">
        <f>F13</f>
        <v>49577605.17</v>
      </c>
      <c r="G12" s="44">
        <f>G13</f>
        <v>0</v>
      </c>
    </row>
    <row r="13" spans="1:7" ht="15.75">
      <c r="A13" s="20" t="s">
        <v>253</v>
      </c>
      <c r="B13" s="21" t="s">
        <v>13</v>
      </c>
      <c r="C13" s="31" t="s">
        <v>252</v>
      </c>
      <c r="D13" s="31" t="s">
        <v>254</v>
      </c>
      <c r="E13" s="31" t="s">
        <v>243</v>
      </c>
      <c r="F13" s="44">
        <f>F14+F15</f>
        <v>49577605.17</v>
      </c>
      <c r="G13" s="44">
        <f>G14+G15</f>
        <v>0</v>
      </c>
    </row>
    <row r="14" spans="1:7" ht="15.75">
      <c r="A14" s="20" t="s">
        <v>2</v>
      </c>
      <c r="B14" s="21" t="s">
        <v>13</v>
      </c>
      <c r="C14" s="31" t="s">
        <v>252</v>
      </c>
      <c r="D14" s="31" t="s">
        <v>254</v>
      </c>
      <c r="E14" s="31" t="s">
        <v>268</v>
      </c>
      <c r="F14" s="44">
        <f>24194663-302600-1000000-600000+1887700+1922600+312676.29-31047.33</f>
        <v>26383991.96</v>
      </c>
      <c r="G14" s="44">
        <v>0</v>
      </c>
    </row>
    <row r="15" spans="1:7" ht="15.75">
      <c r="A15" s="20" t="s">
        <v>0</v>
      </c>
      <c r="B15" s="21" t="s">
        <v>13</v>
      </c>
      <c r="C15" s="31" t="s">
        <v>252</v>
      </c>
      <c r="D15" s="31" t="s">
        <v>254</v>
      </c>
      <c r="E15" s="31" t="s">
        <v>257</v>
      </c>
      <c r="F15" s="44">
        <f>18197023+80000+3833600+1105000+57990.21-80000</f>
        <v>23193613.21</v>
      </c>
      <c r="G15" s="44">
        <v>0</v>
      </c>
    </row>
    <row r="16" spans="1:7" ht="31.5">
      <c r="A16" s="20" t="s">
        <v>16</v>
      </c>
      <c r="B16" s="21" t="s">
        <v>15</v>
      </c>
      <c r="C16" s="31" t="s">
        <v>243</v>
      </c>
      <c r="D16" s="31" t="s">
        <v>243</v>
      </c>
      <c r="E16" s="31" t="s">
        <v>243</v>
      </c>
      <c r="F16" s="44">
        <f aca="true" t="shared" si="0" ref="F16:G18">F17</f>
        <v>138000</v>
      </c>
      <c r="G16" s="44">
        <f t="shared" si="0"/>
        <v>0</v>
      </c>
    </row>
    <row r="17" spans="1:7" ht="31.5">
      <c r="A17" s="20" t="s">
        <v>260</v>
      </c>
      <c r="B17" s="21" t="s">
        <v>15</v>
      </c>
      <c r="C17" s="31" t="s">
        <v>261</v>
      </c>
      <c r="D17" s="31" t="s">
        <v>243</v>
      </c>
      <c r="E17" s="31" t="s">
        <v>243</v>
      </c>
      <c r="F17" s="44">
        <f t="shared" si="0"/>
        <v>138000</v>
      </c>
      <c r="G17" s="44">
        <f t="shared" si="0"/>
        <v>0</v>
      </c>
    </row>
    <row r="18" spans="1:7" ht="15.75">
      <c r="A18" s="20" t="s">
        <v>53</v>
      </c>
      <c r="B18" s="21" t="s">
        <v>15</v>
      </c>
      <c r="C18" s="31" t="s">
        <v>261</v>
      </c>
      <c r="D18" s="31" t="s">
        <v>268</v>
      </c>
      <c r="E18" s="31" t="s">
        <v>243</v>
      </c>
      <c r="F18" s="44">
        <f t="shared" si="0"/>
        <v>138000</v>
      </c>
      <c r="G18" s="44">
        <f t="shared" si="0"/>
        <v>0</v>
      </c>
    </row>
    <row r="19" spans="1:7" ht="15.75">
      <c r="A19" s="20" t="s">
        <v>54</v>
      </c>
      <c r="B19" s="21" t="s">
        <v>15</v>
      </c>
      <c r="C19" s="31" t="s">
        <v>261</v>
      </c>
      <c r="D19" s="31" t="s">
        <v>268</v>
      </c>
      <c r="E19" s="31" t="s">
        <v>55</v>
      </c>
      <c r="F19" s="44">
        <f>200000-56850-5150</f>
        <v>138000</v>
      </c>
      <c r="G19" s="44">
        <v>0</v>
      </c>
    </row>
    <row r="20" spans="1:7" ht="47.25">
      <c r="A20" s="20" t="s">
        <v>17</v>
      </c>
      <c r="B20" s="21" t="s">
        <v>18</v>
      </c>
      <c r="C20" s="31"/>
      <c r="D20" s="31" t="s">
        <v>243</v>
      </c>
      <c r="E20" s="31" t="s">
        <v>243</v>
      </c>
      <c r="F20" s="44">
        <f aca="true" t="shared" si="1" ref="F20:G22">F21</f>
        <v>35000</v>
      </c>
      <c r="G20" s="44">
        <f t="shared" si="1"/>
        <v>0</v>
      </c>
    </row>
    <row r="21" spans="1:7" ht="31.5">
      <c r="A21" s="20" t="s">
        <v>260</v>
      </c>
      <c r="B21" s="21" t="s">
        <v>18</v>
      </c>
      <c r="C21" s="31" t="s">
        <v>261</v>
      </c>
      <c r="D21" s="31" t="s">
        <v>243</v>
      </c>
      <c r="E21" s="31" t="s">
        <v>243</v>
      </c>
      <c r="F21" s="44">
        <f t="shared" si="1"/>
        <v>35000</v>
      </c>
      <c r="G21" s="44">
        <f t="shared" si="1"/>
        <v>0</v>
      </c>
    </row>
    <row r="22" spans="1:7" ht="15.75">
      <c r="A22" s="20" t="s">
        <v>53</v>
      </c>
      <c r="B22" s="21" t="s">
        <v>18</v>
      </c>
      <c r="C22" s="31" t="s">
        <v>261</v>
      </c>
      <c r="D22" s="31" t="s">
        <v>268</v>
      </c>
      <c r="E22" s="31" t="s">
        <v>243</v>
      </c>
      <c r="F22" s="44">
        <f t="shared" si="1"/>
        <v>35000</v>
      </c>
      <c r="G22" s="44">
        <f t="shared" si="1"/>
        <v>0</v>
      </c>
    </row>
    <row r="23" spans="1:7" ht="15.75">
      <c r="A23" s="20" t="s">
        <v>54</v>
      </c>
      <c r="B23" s="21" t="s">
        <v>18</v>
      </c>
      <c r="C23" s="31" t="s">
        <v>261</v>
      </c>
      <c r="D23" s="31" t="s">
        <v>268</v>
      </c>
      <c r="E23" s="31" t="s">
        <v>55</v>
      </c>
      <c r="F23" s="44">
        <v>35000</v>
      </c>
      <c r="G23" s="44">
        <v>0</v>
      </c>
    </row>
    <row r="24" spans="1:7" ht="40.5" customHeight="1">
      <c r="A24" s="20" t="s">
        <v>328</v>
      </c>
      <c r="B24" s="21" t="s">
        <v>19</v>
      </c>
      <c r="C24" s="31" t="s">
        <v>243</v>
      </c>
      <c r="D24" s="31" t="s">
        <v>243</v>
      </c>
      <c r="E24" s="31" t="s">
        <v>243</v>
      </c>
      <c r="F24" s="44">
        <f aca="true" t="shared" si="2" ref="F24:G26">F25</f>
        <v>20000</v>
      </c>
      <c r="G24" s="44">
        <f t="shared" si="2"/>
        <v>0</v>
      </c>
    </row>
    <row r="25" spans="1:7" ht="31.5">
      <c r="A25" s="20" t="s">
        <v>251</v>
      </c>
      <c r="B25" s="21" t="s">
        <v>19</v>
      </c>
      <c r="C25" s="31" t="s">
        <v>252</v>
      </c>
      <c r="D25" s="31" t="s">
        <v>243</v>
      </c>
      <c r="E25" s="31" t="s">
        <v>243</v>
      </c>
      <c r="F25" s="44">
        <f t="shared" si="2"/>
        <v>20000</v>
      </c>
      <c r="G25" s="44">
        <f t="shared" si="2"/>
        <v>0</v>
      </c>
    </row>
    <row r="26" spans="1:7" ht="15.75">
      <c r="A26" s="20" t="s">
        <v>253</v>
      </c>
      <c r="B26" s="21" t="s">
        <v>19</v>
      </c>
      <c r="C26" s="31" t="s">
        <v>252</v>
      </c>
      <c r="D26" s="31" t="s">
        <v>254</v>
      </c>
      <c r="E26" s="31" t="s">
        <v>243</v>
      </c>
      <c r="F26" s="44">
        <f t="shared" si="2"/>
        <v>20000</v>
      </c>
      <c r="G26" s="44">
        <f t="shared" si="2"/>
        <v>0</v>
      </c>
    </row>
    <row r="27" spans="1:7" ht="15.75">
      <c r="A27" s="20" t="s">
        <v>0</v>
      </c>
      <c r="B27" s="21" t="s">
        <v>19</v>
      </c>
      <c r="C27" s="31" t="s">
        <v>252</v>
      </c>
      <c r="D27" s="31" t="s">
        <v>254</v>
      </c>
      <c r="E27" s="31" t="s">
        <v>257</v>
      </c>
      <c r="F27" s="44">
        <f>100000-80000</f>
        <v>20000</v>
      </c>
      <c r="G27" s="44">
        <v>0</v>
      </c>
    </row>
    <row r="28" spans="1:7" ht="63">
      <c r="A28" s="20" t="s">
        <v>199</v>
      </c>
      <c r="B28" s="21" t="s">
        <v>20</v>
      </c>
      <c r="C28" s="31"/>
      <c r="D28" s="31"/>
      <c r="E28" s="31"/>
      <c r="F28" s="44">
        <f aca="true" t="shared" si="3" ref="F28:G30">F29</f>
        <v>2359500</v>
      </c>
      <c r="G28" s="44">
        <f t="shared" si="3"/>
        <v>0</v>
      </c>
    </row>
    <row r="29" spans="1:7" ht="31.5">
      <c r="A29" s="20" t="s">
        <v>251</v>
      </c>
      <c r="B29" s="21" t="s">
        <v>20</v>
      </c>
      <c r="C29" s="31" t="s">
        <v>252</v>
      </c>
      <c r="D29" s="31" t="s">
        <v>243</v>
      </c>
      <c r="E29" s="31"/>
      <c r="F29" s="44">
        <f t="shared" si="3"/>
        <v>2359500</v>
      </c>
      <c r="G29" s="44">
        <f t="shared" si="3"/>
        <v>0</v>
      </c>
    </row>
    <row r="30" spans="1:7" ht="15.75">
      <c r="A30" s="20" t="s">
        <v>253</v>
      </c>
      <c r="B30" s="21" t="s">
        <v>20</v>
      </c>
      <c r="C30" s="31" t="s">
        <v>252</v>
      </c>
      <c r="D30" s="31" t="s">
        <v>254</v>
      </c>
      <c r="E30" s="31"/>
      <c r="F30" s="44">
        <f t="shared" si="3"/>
        <v>2359500</v>
      </c>
      <c r="G30" s="44">
        <f t="shared" si="3"/>
        <v>0</v>
      </c>
    </row>
    <row r="31" spans="1:7" ht="15.75">
      <c r="A31" s="22" t="s">
        <v>255</v>
      </c>
      <c r="B31" s="21" t="s">
        <v>20</v>
      </c>
      <c r="C31" s="31" t="s">
        <v>252</v>
      </c>
      <c r="D31" s="31" t="s">
        <v>254</v>
      </c>
      <c r="E31" s="31" t="s">
        <v>256</v>
      </c>
      <c r="F31" s="44">
        <f>2000000+2000000-679500-961000-150000+150000</f>
        <v>2359500</v>
      </c>
      <c r="G31" s="44">
        <v>0</v>
      </c>
    </row>
    <row r="32" spans="1:7" ht="31.5">
      <c r="A32" s="22" t="s">
        <v>162</v>
      </c>
      <c r="B32" s="21" t="s">
        <v>276</v>
      </c>
      <c r="C32" s="31"/>
      <c r="D32" s="31"/>
      <c r="E32" s="31"/>
      <c r="F32" s="44">
        <f>F33</f>
        <v>2006000</v>
      </c>
      <c r="G32" s="44">
        <f>G33</f>
        <v>0</v>
      </c>
    </row>
    <row r="33" spans="1:7" ht="31.5">
      <c r="A33" s="22" t="s">
        <v>251</v>
      </c>
      <c r="B33" s="21" t="s">
        <v>276</v>
      </c>
      <c r="C33" s="31" t="s">
        <v>252</v>
      </c>
      <c r="D33" s="31"/>
      <c r="E33" s="31"/>
      <c r="F33" s="44">
        <f>F34</f>
        <v>2006000</v>
      </c>
      <c r="G33" s="44">
        <f>G34</f>
        <v>0</v>
      </c>
    </row>
    <row r="34" spans="1:7" ht="15.75">
      <c r="A34" s="22" t="s">
        <v>253</v>
      </c>
      <c r="B34" s="21" t="s">
        <v>276</v>
      </c>
      <c r="C34" s="31" t="s">
        <v>252</v>
      </c>
      <c r="D34" s="31" t="s">
        <v>254</v>
      </c>
      <c r="E34" s="31"/>
      <c r="F34" s="44">
        <f>F35+F36</f>
        <v>2006000</v>
      </c>
      <c r="G34" s="44">
        <f>G35+G36</f>
        <v>0</v>
      </c>
    </row>
    <row r="35" spans="1:7" ht="15.75">
      <c r="A35" s="20" t="s">
        <v>0</v>
      </c>
      <c r="B35" s="21" t="s">
        <v>276</v>
      </c>
      <c r="C35" s="31" t="s">
        <v>252</v>
      </c>
      <c r="D35" s="31" t="s">
        <v>254</v>
      </c>
      <c r="E35" s="31" t="s">
        <v>257</v>
      </c>
      <c r="F35" s="44">
        <f>1027000+140000+75000+364000</f>
        <v>1606000</v>
      </c>
      <c r="G35" s="44">
        <v>0</v>
      </c>
    </row>
    <row r="36" spans="1:11" s="74" customFormat="1" ht="15.75">
      <c r="A36" s="22" t="s">
        <v>255</v>
      </c>
      <c r="B36" s="23" t="s">
        <v>276</v>
      </c>
      <c r="C36" s="31" t="s">
        <v>252</v>
      </c>
      <c r="D36" s="31" t="s">
        <v>254</v>
      </c>
      <c r="E36" s="32" t="s">
        <v>256</v>
      </c>
      <c r="F36" s="44">
        <f>900000-200000-300000</f>
        <v>400000</v>
      </c>
      <c r="G36" s="44">
        <v>0</v>
      </c>
      <c r="K36" s="77"/>
    </row>
    <row r="37" spans="1:11" s="74" customFormat="1" ht="63">
      <c r="A37" s="22" t="s">
        <v>344</v>
      </c>
      <c r="B37" s="23" t="s">
        <v>343</v>
      </c>
      <c r="C37" s="31"/>
      <c r="D37" s="31"/>
      <c r="E37" s="32"/>
      <c r="F37" s="44">
        <f aca="true" t="shared" si="4" ref="F37:G39">F38</f>
        <v>319300</v>
      </c>
      <c r="G37" s="44">
        <f t="shared" si="4"/>
        <v>319300</v>
      </c>
      <c r="K37" s="77"/>
    </row>
    <row r="38" spans="1:11" s="74" customFormat="1" ht="31.5">
      <c r="A38" s="22" t="s">
        <v>251</v>
      </c>
      <c r="B38" s="23" t="s">
        <v>343</v>
      </c>
      <c r="C38" s="32" t="s">
        <v>252</v>
      </c>
      <c r="D38" s="31"/>
      <c r="E38" s="32"/>
      <c r="F38" s="44">
        <f t="shared" si="4"/>
        <v>319300</v>
      </c>
      <c r="G38" s="44">
        <f t="shared" si="4"/>
        <v>319300</v>
      </c>
      <c r="K38" s="77"/>
    </row>
    <row r="39" spans="1:11" s="74" customFormat="1" ht="15.75">
      <c r="A39" s="22" t="s">
        <v>253</v>
      </c>
      <c r="B39" s="23" t="s">
        <v>343</v>
      </c>
      <c r="C39" s="32" t="s">
        <v>252</v>
      </c>
      <c r="D39" s="32" t="s">
        <v>254</v>
      </c>
      <c r="E39" s="32"/>
      <c r="F39" s="44">
        <f t="shared" si="4"/>
        <v>319300</v>
      </c>
      <c r="G39" s="44">
        <f t="shared" si="4"/>
        <v>319300</v>
      </c>
      <c r="K39" s="77"/>
    </row>
    <row r="40" spans="1:11" s="74" customFormat="1" ht="15.75">
      <c r="A40" s="22" t="s">
        <v>255</v>
      </c>
      <c r="B40" s="23" t="s">
        <v>343</v>
      </c>
      <c r="C40" s="32" t="s">
        <v>252</v>
      </c>
      <c r="D40" s="32" t="s">
        <v>254</v>
      </c>
      <c r="E40" s="32" t="s">
        <v>256</v>
      </c>
      <c r="F40" s="44">
        <v>319300</v>
      </c>
      <c r="G40" s="44">
        <f>F40</f>
        <v>319300</v>
      </c>
      <c r="K40" s="77"/>
    </row>
    <row r="41" spans="1:7" ht="78.75">
      <c r="A41" s="20" t="s">
        <v>44</v>
      </c>
      <c r="B41" s="21" t="s">
        <v>21</v>
      </c>
      <c r="C41" s="31"/>
      <c r="D41" s="31"/>
      <c r="E41" s="31"/>
      <c r="F41" s="44">
        <f>F42</f>
        <v>3697400</v>
      </c>
      <c r="G41" s="44">
        <f>G42</f>
        <v>3697400</v>
      </c>
    </row>
    <row r="42" spans="1:7" ht="31.5">
      <c r="A42" s="20" t="s">
        <v>251</v>
      </c>
      <c r="B42" s="21" t="s">
        <v>21</v>
      </c>
      <c r="C42" s="31" t="s">
        <v>252</v>
      </c>
      <c r="D42" s="31" t="s">
        <v>243</v>
      </c>
      <c r="E42" s="31" t="s">
        <v>243</v>
      </c>
      <c r="F42" s="44">
        <f>F43</f>
        <v>3697400</v>
      </c>
      <c r="G42" s="44">
        <f>G43</f>
        <v>3697400</v>
      </c>
    </row>
    <row r="43" spans="1:7" ht="15.75">
      <c r="A43" s="20" t="s">
        <v>253</v>
      </c>
      <c r="B43" s="21" t="s">
        <v>21</v>
      </c>
      <c r="C43" s="31" t="s">
        <v>252</v>
      </c>
      <c r="D43" s="31" t="s">
        <v>254</v>
      </c>
      <c r="E43" s="31" t="s">
        <v>243</v>
      </c>
      <c r="F43" s="44">
        <f>F44+F45</f>
        <v>3697400</v>
      </c>
      <c r="G43" s="44">
        <f>G44+G45</f>
        <v>3697400</v>
      </c>
    </row>
    <row r="44" spans="1:7" ht="15.75">
      <c r="A44" s="20" t="s">
        <v>2</v>
      </c>
      <c r="B44" s="21" t="s">
        <v>21</v>
      </c>
      <c r="C44" s="31" t="s">
        <v>252</v>
      </c>
      <c r="D44" s="31" t="s">
        <v>254</v>
      </c>
      <c r="E44" s="31" t="s">
        <v>268</v>
      </c>
      <c r="F44" s="44">
        <v>1934000</v>
      </c>
      <c r="G44" s="44">
        <f>F44</f>
        <v>1934000</v>
      </c>
    </row>
    <row r="45" spans="1:7" ht="15.75">
      <c r="A45" s="20" t="s">
        <v>0</v>
      </c>
      <c r="B45" s="21" t="s">
        <v>21</v>
      </c>
      <c r="C45" s="31" t="s">
        <v>252</v>
      </c>
      <c r="D45" s="31" t="s">
        <v>254</v>
      </c>
      <c r="E45" s="31" t="s">
        <v>257</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251</v>
      </c>
      <c r="B47" s="21" t="s">
        <v>22</v>
      </c>
      <c r="C47" s="31" t="s">
        <v>252</v>
      </c>
      <c r="D47" s="31" t="s">
        <v>243</v>
      </c>
      <c r="E47" s="31"/>
      <c r="F47" s="44">
        <f t="shared" si="5"/>
        <v>136200</v>
      </c>
      <c r="G47" s="44">
        <f t="shared" si="5"/>
        <v>136200</v>
      </c>
    </row>
    <row r="48" spans="1:7" ht="15.75">
      <c r="A48" s="20" t="s">
        <v>253</v>
      </c>
      <c r="B48" s="21" t="s">
        <v>22</v>
      </c>
      <c r="C48" s="31" t="s">
        <v>252</v>
      </c>
      <c r="D48" s="31" t="s">
        <v>254</v>
      </c>
      <c r="E48" s="31"/>
      <c r="F48" s="44">
        <f t="shared" si="5"/>
        <v>136200</v>
      </c>
      <c r="G48" s="44">
        <f t="shared" si="5"/>
        <v>136200</v>
      </c>
    </row>
    <row r="49" spans="1:7" ht="15.75">
      <c r="A49" s="20" t="s">
        <v>0</v>
      </c>
      <c r="B49" s="21" t="s">
        <v>22</v>
      </c>
      <c r="C49" s="31" t="s">
        <v>252</v>
      </c>
      <c r="D49" s="31" t="s">
        <v>254</v>
      </c>
      <c r="E49" s="31" t="s">
        <v>257</v>
      </c>
      <c r="F49" s="44">
        <f>136600-400</f>
        <v>136200</v>
      </c>
      <c r="G49" s="44">
        <f>F49</f>
        <v>136200</v>
      </c>
    </row>
    <row r="50" spans="1:7" ht="47.25">
      <c r="A50" s="20" t="s">
        <v>4</v>
      </c>
      <c r="B50" s="21" t="s">
        <v>23</v>
      </c>
      <c r="C50" s="31"/>
      <c r="D50" s="31"/>
      <c r="E50" s="31"/>
      <c r="F50" s="44">
        <f aca="true" t="shared" si="6" ref="F50:G52">F51</f>
        <v>57905300</v>
      </c>
      <c r="G50" s="44">
        <f t="shared" si="6"/>
        <v>57905300</v>
      </c>
    </row>
    <row r="51" spans="1:7" ht="31.5">
      <c r="A51" s="20" t="s">
        <v>251</v>
      </c>
      <c r="B51" s="21" t="s">
        <v>23</v>
      </c>
      <c r="C51" s="31" t="s">
        <v>252</v>
      </c>
      <c r="D51" s="31" t="s">
        <v>243</v>
      </c>
      <c r="E51" s="31"/>
      <c r="F51" s="44">
        <f t="shared" si="6"/>
        <v>57905300</v>
      </c>
      <c r="G51" s="44">
        <f t="shared" si="6"/>
        <v>57905300</v>
      </c>
    </row>
    <row r="52" spans="1:7" ht="15.75">
      <c r="A52" s="20" t="s">
        <v>253</v>
      </c>
      <c r="B52" s="21" t="s">
        <v>23</v>
      </c>
      <c r="C52" s="31" t="s">
        <v>252</v>
      </c>
      <c r="D52" s="31" t="s">
        <v>254</v>
      </c>
      <c r="E52" s="31"/>
      <c r="F52" s="44">
        <f t="shared" si="6"/>
        <v>57905300</v>
      </c>
      <c r="G52" s="44">
        <f t="shared" si="6"/>
        <v>57905300</v>
      </c>
    </row>
    <row r="53" spans="1:7" ht="15.75">
      <c r="A53" s="20" t="s">
        <v>0</v>
      </c>
      <c r="B53" s="21" t="s">
        <v>23</v>
      </c>
      <c r="C53" s="31" t="s">
        <v>252</v>
      </c>
      <c r="D53" s="31" t="s">
        <v>254</v>
      </c>
      <c r="E53" s="31" t="s">
        <v>257</v>
      </c>
      <c r="F53" s="44">
        <f>60023400-3252300+1134200</f>
        <v>57905300</v>
      </c>
      <c r="G53" s="44">
        <f>F53</f>
        <v>57905300</v>
      </c>
    </row>
    <row r="54" spans="1:7" ht="31.5">
      <c r="A54" s="20" t="s">
        <v>7</v>
      </c>
      <c r="B54" s="21" t="s">
        <v>24</v>
      </c>
      <c r="C54" s="31"/>
      <c r="D54" s="31"/>
      <c r="E54" s="31"/>
      <c r="F54" s="44">
        <f aca="true" t="shared" si="7" ref="F54:G56">F55</f>
        <v>1347000</v>
      </c>
      <c r="G54" s="44">
        <f t="shared" si="7"/>
        <v>1347000</v>
      </c>
    </row>
    <row r="55" spans="1:7" ht="31.5">
      <c r="A55" s="20" t="s">
        <v>251</v>
      </c>
      <c r="B55" s="21" t="s">
        <v>24</v>
      </c>
      <c r="C55" s="31" t="s">
        <v>252</v>
      </c>
      <c r="D55" s="31" t="s">
        <v>243</v>
      </c>
      <c r="E55" s="31"/>
      <c r="F55" s="44">
        <f t="shared" si="7"/>
        <v>1347000</v>
      </c>
      <c r="G55" s="44">
        <f t="shared" si="7"/>
        <v>1347000</v>
      </c>
    </row>
    <row r="56" spans="1:7" ht="15.75">
      <c r="A56" s="20" t="s">
        <v>253</v>
      </c>
      <c r="B56" s="21" t="s">
        <v>24</v>
      </c>
      <c r="C56" s="31" t="s">
        <v>252</v>
      </c>
      <c r="D56" s="31" t="s">
        <v>254</v>
      </c>
      <c r="E56" s="31"/>
      <c r="F56" s="44">
        <f t="shared" si="7"/>
        <v>1347000</v>
      </c>
      <c r="G56" s="44">
        <f t="shared" si="7"/>
        <v>1347000</v>
      </c>
    </row>
    <row r="57" spans="1:7" ht="15.75">
      <c r="A57" s="20" t="s">
        <v>0</v>
      </c>
      <c r="B57" s="21" t="s">
        <v>24</v>
      </c>
      <c r="C57" s="31" t="s">
        <v>252</v>
      </c>
      <c r="D57" s="31" t="s">
        <v>254</v>
      </c>
      <c r="E57" s="31" t="s">
        <v>257</v>
      </c>
      <c r="F57" s="44">
        <f>1258900+88100</f>
        <v>1347000</v>
      </c>
      <c r="G57" s="44">
        <f>F57</f>
        <v>1347000</v>
      </c>
    </row>
    <row r="58" spans="1:7" ht="114" customHeight="1">
      <c r="A58" s="20" t="s">
        <v>332</v>
      </c>
      <c r="B58" s="21" t="s">
        <v>25</v>
      </c>
      <c r="C58" s="31"/>
      <c r="D58" s="31"/>
      <c r="E58" s="31"/>
      <c r="F58" s="44">
        <f aca="true" t="shared" si="8" ref="F58:G60">F59</f>
        <v>44000</v>
      </c>
      <c r="G58" s="44">
        <f t="shared" si="8"/>
        <v>44000</v>
      </c>
    </row>
    <row r="59" spans="1:7" ht="31.5">
      <c r="A59" s="20" t="s">
        <v>251</v>
      </c>
      <c r="B59" s="21" t="s">
        <v>25</v>
      </c>
      <c r="C59" s="31" t="s">
        <v>252</v>
      </c>
      <c r="D59" s="31"/>
      <c r="E59" s="31"/>
      <c r="F59" s="44">
        <f t="shared" si="8"/>
        <v>44000</v>
      </c>
      <c r="G59" s="44">
        <f t="shared" si="8"/>
        <v>44000</v>
      </c>
    </row>
    <row r="60" spans="1:7" ht="15.75">
      <c r="A60" s="20" t="s">
        <v>264</v>
      </c>
      <c r="B60" s="21" t="s">
        <v>25</v>
      </c>
      <c r="C60" s="31" t="s">
        <v>252</v>
      </c>
      <c r="D60" s="31" t="s">
        <v>265</v>
      </c>
      <c r="E60" s="31"/>
      <c r="F60" s="44">
        <f t="shared" si="8"/>
        <v>44000</v>
      </c>
      <c r="G60" s="44">
        <f t="shared" si="8"/>
        <v>44000</v>
      </c>
    </row>
    <row r="61" spans="1:7" ht="15.75">
      <c r="A61" s="20" t="s">
        <v>1</v>
      </c>
      <c r="B61" s="21" t="s">
        <v>25</v>
      </c>
      <c r="C61" s="31" t="s">
        <v>252</v>
      </c>
      <c r="D61" s="31" t="s">
        <v>265</v>
      </c>
      <c r="E61" s="31" t="s">
        <v>269</v>
      </c>
      <c r="F61" s="44">
        <f>59700-15200-500</f>
        <v>44000</v>
      </c>
      <c r="G61" s="44">
        <f>F61</f>
        <v>44000</v>
      </c>
    </row>
    <row r="62" spans="1:7" ht="66" customHeight="1">
      <c r="A62" s="20" t="s">
        <v>333</v>
      </c>
      <c r="B62" s="21" t="s">
        <v>26</v>
      </c>
      <c r="C62" s="31"/>
      <c r="D62" s="31"/>
      <c r="E62" s="31"/>
      <c r="F62" s="44">
        <f aca="true" t="shared" si="9" ref="F62:G64">F63</f>
        <v>1759200</v>
      </c>
      <c r="G62" s="44">
        <f t="shared" si="9"/>
        <v>1759200</v>
      </c>
    </row>
    <row r="63" spans="1:7" ht="31.5">
      <c r="A63" s="20" t="s">
        <v>251</v>
      </c>
      <c r="B63" s="21" t="s">
        <v>26</v>
      </c>
      <c r="C63" s="31" t="s">
        <v>252</v>
      </c>
      <c r="D63" s="31"/>
      <c r="E63" s="31"/>
      <c r="F63" s="44">
        <f t="shared" si="9"/>
        <v>1759200</v>
      </c>
      <c r="G63" s="44">
        <f t="shared" si="9"/>
        <v>1759200</v>
      </c>
    </row>
    <row r="64" spans="1:7" ht="15.75">
      <c r="A64" s="20" t="s">
        <v>264</v>
      </c>
      <c r="B64" s="21" t="s">
        <v>26</v>
      </c>
      <c r="C64" s="31" t="s">
        <v>252</v>
      </c>
      <c r="D64" s="31" t="s">
        <v>265</v>
      </c>
      <c r="E64" s="31"/>
      <c r="F64" s="44">
        <f t="shared" si="9"/>
        <v>1759200</v>
      </c>
      <c r="G64" s="44">
        <f t="shared" si="9"/>
        <v>1759200</v>
      </c>
    </row>
    <row r="65" spans="1:7" ht="15.75">
      <c r="A65" s="20" t="s">
        <v>1</v>
      </c>
      <c r="B65" s="21" t="s">
        <v>26</v>
      </c>
      <c r="C65" s="31" t="s">
        <v>252</v>
      </c>
      <c r="D65" s="31" t="s">
        <v>265</v>
      </c>
      <c r="E65" s="31" t="s">
        <v>269</v>
      </c>
      <c r="F65" s="44">
        <f>2386700-606600-20900</f>
        <v>1759200</v>
      </c>
      <c r="G65" s="44">
        <f>F65</f>
        <v>1759200</v>
      </c>
    </row>
    <row r="66" spans="1:7" ht="63">
      <c r="A66" s="20" t="s">
        <v>5</v>
      </c>
      <c r="B66" s="21" t="s">
        <v>27</v>
      </c>
      <c r="C66" s="31"/>
      <c r="D66" s="31"/>
      <c r="E66" s="31"/>
      <c r="F66" s="44">
        <f aca="true" t="shared" si="10" ref="F66:G68">F67</f>
        <v>45022300</v>
      </c>
      <c r="G66" s="44">
        <f t="shared" si="10"/>
        <v>45022300</v>
      </c>
    </row>
    <row r="67" spans="1:7" ht="31.5">
      <c r="A67" s="20" t="s">
        <v>251</v>
      </c>
      <c r="B67" s="21" t="s">
        <v>27</v>
      </c>
      <c r="C67" s="31" t="s">
        <v>252</v>
      </c>
      <c r="D67" s="31" t="s">
        <v>243</v>
      </c>
      <c r="E67" s="31"/>
      <c r="F67" s="44">
        <f t="shared" si="10"/>
        <v>45022300</v>
      </c>
      <c r="G67" s="44">
        <f t="shared" si="10"/>
        <v>45022300</v>
      </c>
    </row>
    <row r="68" spans="1:7" ht="15.75">
      <c r="A68" s="20" t="s">
        <v>253</v>
      </c>
      <c r="B68" s="21" t="s">
        <v>27</v>
      </c>
      <c r="C68" s="31" t="s">
        <v>252</v>
      </c>
      <c r="D68" s="31" t="s">
        <v>254</v>
      </c>
      <c r="E68" s="31"/>
      <c r="F68" s="44">
        <f t="shared" si="10"/>
        <v>45022300</v>
      </c>
      <c r="G68" s="44">
        <f t="shared" si="10"/>
        <v>45022300</v>
      </c>
    </row>
    <row r="69" spans="1:7" ht="15.75">
      <c r="A69" s="20" t="s">
        <v>2</v>
      </c>
      <c r="B69" s="21" t="s">
        <v>27</v>
      </c>
      <c r="C69" s="31" t="s">
        <v>252</v>
      </c>
      <c r="D69" s="31" t="s">
        <v>254</v>
      </c>
      <c r="E69" s="31" t="s">
        <v>268</v>
      </c>
      <c r="F69" s="44">
        <f>46460700-594700-850000+6300</f>
        <v>45022300</v>
      </c>
      <c r="G69" s="44">
        <f>F69</f>
        <v>45022300</v>
      </c>
    </row>
    <row r="70" spans="1:11" s="11" customFormat="1" ht="15.75">
      <c r="A70" s="19" t="s">
        <v>29</v>
      </c>
      <c r="B70" s="18" t="s">
        <v>28</v>
      </c>
      <c r="C70" s="30"/>
      <c r="D70" s="30"/>
      <c r="E70" s="30"/>
      <c r="F70" s="43">
        <f>F71</f>
        <v>120000</v>
      </c>
      <c r="G70" s="43">
        <f>G71</f>
        <v>0</v>
      </c>
      <c r="K70" s="78"/>
    </row>
    <row r="71" spans="1:7" ht="31.5">
      <c r="A71" s="20" t="s">
        <v>16</v>
      </c>
      <c r="B71" s="21" t="s">
        <v>33</v>
      </c>
      <c r="C71" s="31"/>
      <c r="D71" s="31"/>
      <c r="E71" s="31"/>
      <c r="F71" s="44">
        <f>F72</f>
        <v>120000</v>
      </c>
      <c r="G71" s="44">
        <v>0</v>
      </c>
    </row>
    <row r="72" spans="1:7" ht="31.5">
      <c r="A72" s="20" t="s">
        <v>251</v>
      </c>
      <c r="B72" s="21" t="s">
        <v>33</v>
      </c>
      <c r="C72" s="31" t="s">
        <v>252</v>
      </c>
      <c r="D72" s="31"/>
      <c r="E72" s="31"/>
      <c r="F72" s="44">
        <f>F73</f>
        <v>120000</v>
      </c>
      <c r="G72" s="44">
        <v>0</v>
      </c>
    </row>
    <row r="73" spans="1:7" ht="15.75">
      <c r="A73" s="20" t="s">
        <v>253</v>
      </c>
      <c r="B73" s="21" t="s">
        <v>33</v>
      </c>
      <c r="C73" s="31" t="s">
        <v>252</v>
      </c>
      <c r="D73" s="31" t="s">
        <v>254</v>
      </c>
      <c r="E73" s="31"/>
      <c r="F73" s="44">
        <f>F74</f>
        <v>120000</v>
      </c>
      <c r="G73" s="44">
        <v>0</v>
      </c>
    </row>
    <row r="74" spans="1:7" ht="15.75">
      <c r="A74" s="20" t="s">
        <v>267</v>
      </c>
      <c r="B74" s="21" t="s">
        <v>33</v>
      </c>
      <c r="C74" s="31" t="s">
        <v>252</v>
      </c>
      <c r="D74" s="31" t="s">
        <v>254</v>
      </c>
      <c r="E74" s="31" t="s">
        <v>254</v>
      </c>
      <c r="F74" s="44">
        <v>120000</v>
      </c>
      <c r="G74" s="44">
        <v>0</v>
      </c>
    </row>
    <row r="75" spans="1:11" s="11" customFormat="1" ht="47.25">
      <c r="A75" s="19" t="s">
        <v>30</v>
      </c>
      <c r="B75" s="18" t="s">
        <v>31</v>
      </c>
      <c r="C75" s="30"/>
      <c r="D75" s="30"/>
      <c r="E75" s="30"/>
      <c r="F75" s="43">
        <f>F76</f>
        <v>67000</v>
      </c>
      <c r="G75" s="43">
        <f>G76</f>
        <v>0</v>
      </c>
      <c r="K75" s="78"/>
    </row>
    <row r="76" spans="1:7" ht="31.5">
      <c r="A76" s="20" t="s">
        <v>16</v>
      </c>
      <c r="B76" s="21" t="s">
        <v>32</v>
      </c>
      <c r="C76" s="31"/>
      <c r="D76" s="31"/>
      <c r="E76" s="31"/>
      <c r="F76" s="44">
        <f>F77+F80</f>
        <v>67000</v>
      </c>
      <c r="G76" s="44">
        <v>0</v>
      </c>
    </row>
    <row r="77" spans="1:7" ht="31.5">
      <c r="A77" s="20" t="s">
        <v>260</v>
      </c>
      <c r="B77" s="21" t="s">
        <v>32</v>
      </c>
      <c r="C77" s="31" t="s">
        <v>261</v>
      </c>
      <c r="D77" s="31"/>
      <c r="E77" s="31"/>
      <c r="F77" s="44">
        <f>F78</f>
        <v>7000</v>
      </c>
      <c r="G77" s="44">
        <f>G78</f>
        <v>0</v>
      </c>
    </row>
    <row r="78" spans="1:7" ht="15.75">
      <c r="A78" s="20" t="s">
        <v>253</v>
      </c>
      <c r="B78" s="21" t="s">
        <v>32</v>
      </c>
      <c r="C78" s="31" t="s">
        <v>261</v>
      </c>
      <c r="D78" s="31" t="s">
        <v>254</v>
      </c>
      <c r="E78" s="31"/>
      <c r="F78" s="44">
        <f>F79</f>
        <v>7000</v>
      </c>
      <c r="G78" s="44">
        <f>G79</f>
        <v>0</v>
      </c>
    </row>
    <row r="79" spans="1:7" ht="15.75">
      <c r="A79" s="20" t="s">
        <v>255</v>
      </c>
      <c r="B79" s="21" t="s">
        <v>32</v>
      </c>
      <c r="C79" s="31" t="s">
        <v>261</v>
      </c>
      <c r="D79" s="31" t="s">
        <v>254</v>
      </c>
      <c r="E79" s="31" t="s">
        <v>256</v>
      </c>
      <c r="F79" s="44">
        <v>7000</v>
      </c>
      <c r="G79" s="44">
        <v>0</v>
      </c>
    </row>
    <row r="80" spans="1:7" ht="31.5">
      <c r="A80" s="20" t="s">
        <v>251</v>
      </c>
      <c r="B80" s="21" t="s">
        <v>32</v>
      </c>
      <c r="C80" s="31" t="s">
        <v>252</v>
      </c>
      <c r="D80" s="31" t="s">
        <v>243</v>
      </c>
      <c r="E80" s="31"/>
      <c r="F80" s="44">
        <f>F81</f>
        <v>60000</v>
      </c>
      <c r="G80" s="44">
        <f>G81</f>
        <v>0</v>
      </c>
    </row>
    <row r="81" spans="1:7" ht="15.75">
      <c r="A81" s="20" t="s">
        <v>253</v>
      </c>
      <c r="B81" s="21" t="s">
        <v>32</v>
      </c>
      <c r="C81" s="31" t="s">
        <v>252</v>
      </c>
      <c r="D81" s="31" t="s">
        <v>254</v>
      </c>
      <c r="E81" s="31"/>
      <c r="F81" s="44">
        <f>F82</f>
        <v>60000</v>
      </c>
      <c r="G81" s="44">
        <f>G82</f>
        <v>0</v>
      </c>
    </row>
    <row r="82" spans="1:7" ht="15.75">
      <c r="A82" s="20" t="s">
        <v>255</v>
      </c>
      <c r="B82" s="21" t="s">
        <v>32</v>
      </c>
      <c r="C82" s="31" t="s">
        <v>252</v>
      </c>
      <c r="D82" s="31" t="s">
        <v>254</v>
      </c>
      <c r="E82" s="31" t="s">
        <v>256</v>
      </c>
      <c r="F82" s="44">
        <v>60000</v>
      </c>
      <c r="G82" s="44">
        <v>0</v>
      </c>
    </row>
    <row r="83" spans="1:11" s="11" customFormat="1" ht="31.5">
      <c r="A83" s="19" t="s">
        <v>131</v>
      </c>
      <c r="B83" s="18" t="s">
        <v>34</v>
      </c>
      <c r="C83" s="30"/>
      <c r="D83" s="30"/>
      <c r="E83" s="30"/>
      <c r="F83" s="43">
        <f>F84+F91</f>
        <v>853445.27</v>
      </c>
      <c r="G83" s="43">
        <f>G84+G91</f>
        <v>248600</v>
      </c>
      <c r="K83" s="78"/>
    </row>
    <row r="84" spans="1:7" ht="31.5">
      <c r="A84" s="20" t="s">
        <v>36</v>
      </c>
      <c r="B84" s="21" t="s">
        <v>35</v>
      </c>
      <c r="C84" s="31"/>
      <c r="D84" s="31"/>
      <c r="E84" s="31"/>
      <c r="F84" s="44">
        <f>F85+F88</f>
        <v>604845.27</v>
      </c>
      <c r="G84" s="44">
        <v>0</v>
      </c>
    </row>
    <row r="85" spans="1:7" ht="31.5">
      <c r="A85" s="20" t="s">
        <v>260</v>
      </c>
      <c r="B85" s="21" t="s">
        <v>35</v>
      </c>
      <c r="C85" s="31" t="s">
        <v>261</v>
      </c>
      <c r="D85" s="31"/>
      <c r="E85" s="31"/>
      <c r="F85" s="44">
        <f>F86</f>
        <v>352127.26999999996</v>
      </c>
      <c r="G85" s="44">
        <v>0</v>
      </c>
    </row>
    <row r="86" spans="1:7" ht="15.75">
      <c r="A86" s="20" t="s">
        <v>253</v>
      </c>
      <c r="B86" s="21" t="s">
        <v>35</v>
      </c>
      <c r="C86" s="31" t="s">
        <v>261</v>
      </c>
      <c r="D86" s="31" t="s">
        <v>254</v>
      </c>
      <c r="E86" s="31"/>
      <c r="F86" s="44">
        <f>F87</f>
        <v>352127.26999999996</v>
      </c>
      <c r="G86" s="44">
        <f>G87</f>
        <v>0</v>
      </c>
    </row>
    <row r="87" spans="1:7" ht="15.75">
      <c r="A87" s="20" t="s">
        <v>267</v>
      </c>
      <c r="B87" s="21" t="s">
        <v>35</v>
      </c>
      <c r="C87" s="31" t="s">
        <v>261</v>
      </c>
      <c r="D87" s="31" t="s">
        <v>254</v>
      </c>
      <c r="E87" s="31" t="s">
        <v>254</v>
      </c>
      <c r="F87" s="44">
        <f>338200+140000-88145.4-54057.33-4220+17600+2750</f>
        <v>352127.26999999996</v>
      </c>
      <c r="G87" s="44">
        <v>0</v>
      </c>
    </row>
    <row r="88" spans="1:7" ht="31.5">
      <c r="A88" s="20" t="s">
        <v>251</v>
      </c>
      <c r="B88" s="21" t="s">
        <v>35</v>
      </c>
      <c r="C88" s="31" t="s">
        <v>252</v>
      </c>
      <c r="D88" s="31" t="s">
        <v>243</v>
      </c>
      <c r="E88" s="31"/>
      <c r="F88" s="44">
        <f>F89</f>
        <v>252718</v>
      </c>
      <c r="G88" s="44">
        <f>G89</f>
        <v>0</v>
      </c>
    </row>
    <row r="89" spans="1:7" ht="15.75">
      <c r="A89" s="20" t="s">
        <v>253</v>
      </c>
      <c r="B89" s="21" t="s">
        <v>35</v>
      </c>
      <c r="C89" s="31" t="s">
        <v>252</v>
      </c>
      <c r="D89" s="31" t="s">
        <v>254</v>
      </c>
      <c r="E89" s="31"/>
      <c r="F89" s="44">
        <f>F90</f>
        <v>252718</v>
      </c>
      <c r="G89" s="44">
        <f>G90</f>
        <v>0</v>
      </c>
    </row>
    <row r="90" spans="1:7" ht="15.75">
      <c r="A90" s="20" t="s">
        <v>267</v>
      </c>
      <c r="B90" s="21" t="s">
        <v>35</v>
      </c>
      <c r="C90" s="31" t="s">
        <v>252</v>
      </c>
      <c r="D90" s="31" t="s">
        <v>254</v>
      </c>
      <c r="E90" s="31" t="s">
        <v>254</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251</v>
      </c>
      <c r="B92" s="21" t="s">
        <v>37</v>
      </c>
      <c r="C92" s="31" t="s">
        <v>252</v>
      </c>
      <c r="D92" s="31" t="s">
        <v>243</v>
      </c>
      <c r="E92" s="31"/>
      <c r="F92" s="44">
        <f t="shared" si="11"/>
        <v>248600</v>
      </c>
      <c r="G92" s="44">
        <f t="shared" si="11"/>
        <v>248600</v>
      </c>
    </row>
    <row r="93" spans="1:7" ht="15.75">
      <c r="A93" s="20" t="s">
        <v>253</v>
      </c>
      <c r="B93" s="21" t="s">
        <v>37</v>
      </c>
      <c r="C93" s="31" t="s">
        <v>252</v>
      </c>
      <c r="D93" s="31" t="s">
        <v>254</v>
      </c>
      <c r="E93" s="31"/>
      <c r="F93" s="44">
        <f t="shared" si="11"/>
        <v>248600</v>
      </c>
      <c r="G93" s="44">
        <f t="shared" si="11"/>
        <v>248600</v>
      </c>
    </row>
    <row r="94" spans="1:7" ht="15.75">
      <c r="A94" s="20" t="s">
        <v>267</v>
      </c>
      <c r="B94" s="21" t="s">
        <v>37</v>
      </c>
      <c r="C94" s="31" t="s">
        <v>252</v>
      </c>
      <c r="D94" s="31" t="s">
        <v>254</v>
      </c>
      <c r="E94" s="31" t="s">
        <v>254</v>
      </c>
      <c r="F94" s="44">
        <f>248600</f>
        <v>248600</v>
      </c>
      <c r="G94" s="44">
        <f>F94</f>
        <v>248600</v>
      </c>
    </row>
    <row r="95" spans="1:11" s="11" customFormat="1" ht="78.75">
      <c r="A95" s="19" t="s">
        <v>292</v>
      </c>
      <c r="B95" s="18" t="s">
        <v>38</v>
      </c>
      <c r="C95" s="30"/>
      <c r="D95" s="30"/>
      <c r="E95" s="30"/>
      <c r="F95" s="43">
        <f>F96+F102+F114+F121+F110+F106</f>
        <v>6482400</v>
      </c>
      <c r="G95" s="43">
        <f>G96+G102+G114+G121+G110</f>
        <v>889600</v>
      </c>
      <c r="H95" s="52"/>
      <c r="I95" s="52"/>
      <c r="J95" s="52"/>
      <c r="K95" s="79"/>
    </row>
    <row r="96" spans="1:11" s="13" customFormat="1" ht="31.5">
      <c r="A96" s="22" t="s">
        <v>127</v>
      </c>
      <c r="B96" s="21" t="s">
        <v>126</v>
      </c>
      <c r="C96" s="32"/>
      <c r="D96" s="32"/>
      <c r="E96" s="32"/>
      <c r="F96" s="44">
        <f>F97+F100</f>
        <v>5114300</v>
      </c>
      <c r="G96" s="44">
        <f>G97+G100</f>
        <v>0</v>
      </c>
      <c r="H96" s="49"/>
      <c r="I96" s="49"/>
      <c r="J96" s="49"/>
      <c r="K96" s="80"/>
    </row>
    <row r="97" spans="1:11" s="13" customFormat="1" ht="78.75">
      <c r="A97" s="22" t="s">
        <v>271</v>
      </c>
      <c r="B97" s="21" t="s">
        <v>126</v>
      </c>
      <c r="C97" s="31" t="s">
        <v>272</v>
      </c>
      <c r="D97" s="32"/>
      <c r="E97" s="32"/>
      <c r="F97" s="44">
        <f>F98</f>
        <v>5054300</v>
      </c>
      <c r="G97" s="44">
        <f>G98</f>
        <v>0</v>
      </c>
      <c r="H97" s="49"/>
      <c r="I97" s="49"/>
      <c r="J97" s="49"/>
      <c r="K97" s="80"/>
    </row>
    <row r="98" spans="1:11" s="13" customFormat="1" ht="15.75">
      <c r="A98" s="22" t="s">
        <v>53</v>
      </c>
      <c r="B98" s="21" t="s">
        <v>126</v>
      </c>
      <c r="C98" s="31" t="s">
        <v>272</v>
      </c>
      <c r="D98" s="32" t="s">
        <v>268</v>
      </c>
      <c r="E98" s="32"/>
      <c r="F98" s="44">
        <f>F99</f>
        <v>5054300</v>
      </c>
      <c r="G98" s="44">
        <f>G99</f>
        <v>0</v>
      </c>
      <c r="H98" s="49"/>
      <c r="I98" s="49"/>
      <c r="J98" s="49"/>
      <c r="K98" s="80"/>
    </row>
    <row r="99" spans="1:11" s="13" customFormat="1" ht="63">
      <c r="A99" s="22" t="s">
        <v>125</v>
      </c>
      <c r="B99" s="21" t="s">
        <v>126</v>
      </c>
      <c r="C99" s="31" t="s">
        <v>272</v>
      </c>
      <c r="D99" s="32" t="s">
        <v>268</v>
      </c>
      <c r="E99" s="32" t="s">
        <v>269</v>
      </c>
      <c r="F99" s="44">
        <f>5315100-25000-329800+14000+80000</f>
        <v>5054300</v>
      </c>
      <c r="G99" s="44">
        <v>0</v>
      </c>
      <c r="H99" s="49">
        <v>80731.71</v>
      </c>
      <c r="I99" s="49"/>
      <c r="J99" s="49"/>
      <c r="K99" s="80"/>
    </row>
    <row r="100" spans="1:11" s="13" customFormat="1" ht="15.75">
      <c r="A100" s="22" t="s">
        <v>53</v>
      </c>
      <c r="B100" s="23" t="s">
        <v>126</v>
      </c>
      <c r="C100" s="32" t="s">
        <v>261</v>
      </c>
      <c r="D100" s="32" t="s">
        <v>268</v>
      </c>
      <c r="E100" s="32"/>
      <c r="F100" s="44">
        <f>F101</f>
        <v>60000</v>
      </c>
      <c r="G100" s="44">
        <f>G101</f>
        <v>0</v>
      </c>
      <c r="H100" s="49"/>
      <c r="I100" s="49"/>
      <c r="J100" s="49"/>
      <c r="K100" s="80"/>
    </row>
    <row r="101" spans="1:11" s="13" customFormat="1" ht="63">
      <c r="A101" s="22" t="s">
        <v>125</v>
      </c>
      <c r="B101" s="23" t="s">
        <v>126</v>
      </c>
      <c r="C101" s="32" t="s">
        <v>261</v>
      </c>
      <c r="D101" s="32" t="s">
        <v>268</v>
      </c>
      <c r="E101" s="32" t="s">
        <v>269</v>
      </c>
      <c r="F101" s="44">
        <v>60000</v>
      </c>
      <c r="G101" s="44">
        <v>0</v>
      </c>
      <c r="H101" s="49"/>
      <c r="I101" s="49"/>
      <c r="J101" s="49"/>
      <c r="K101" s="80"/>
    </row>
    <row r="102" spans="1:11" s="13" customFormat="1" ht="31.5">
      <c r="A102" s="22" t="s">
        <v>90</v>
      </c>
      <c r="B102" s="21" t="s">
        <v>130</v>
      </c>
      <c r="C102" s="31"/>
      <c r="D102" s="32"/>
      <c r="E102" s="32"/>
      <c r="F102" s="44">
        <f>F103</f>
        <v>2500</v>
      </c>
      <c r="G102" s="44">
        <v>0</v>
      </c>
      <c r="K102" s="81"/>
    </row>
    <row r="103" spans="1:11" s="13" customFormat="1" ht="31.5">
      <c r="A103" s="22" t="s">
        <v>260</v>
      </c>
      <c r="B103" s="21" t="s">
        <v>130</v>
      </c>
      <c r="C103" s="32" t="s">
        <v>261</v>
      </c>
      <c r="D103" s="32"/>
      <c r="E103" s="32"/>
      <c r="F103" s="44">
        <f>F104</f>
        <v>2500</v>
      </c>
      <c r="G103" s="44">
        <f>G104</f>
        <v>0</v>
      </c>
      <c r="K103" s="81"/>
    </row>
    <row r="104" spans="1:11" s="13" customFormat="1" ht="15.75">
      <c r="A104" s="20" t="s">
        <v>53</v>
      </c>
      <c r="B104" s="21" t="s">
        <v>130</v>
      </c>
      <c r="C104" s="32" t="s">
        <v>261</v>
      </c>
      <c r="D104" s="32" t="s">
        <v>268</v>
      </c>
      <c r="E104" s="32"/>
      <c r="F104" s="44">
        <f>F105</f>
        <v>2500</v>
      </c>
      <c r="G104" s="44">
        <f>G105</f>
        <v>0</v>
      </c>
      <c r="K104" s="81"/>
    </row>
    <row r="105" spans="1:11" s="13" customFormat="1" ht="63">
      <c r="A105" s="22" t="s">
        <v>125</v>
      </c>
      <c r="B105" s="21" t="s">
        <v>130</v>
      </c>
      <c r="C105" s="32" t="s">
        <v>261</v>
      </c>
      <c r="D105" s="32" t="s">
        <v>268</v>
      </c>
      <c r="E105" s="32" t="s">
        <v>269</v>
      </c>
      <c r="F105" s="44">
        <v>2500</v>
      </c>
      <c r="G105" s="44">
        <v>0</v>
      </c>
      <c r="K105" s="81"/>
    </row>
    <row r="106" spans="1:11" s="13" customFormat="1" ht="15.75">
      <c r="A106" s="22"/>
      <c r="B106" s="23" t="s">
        <v>354</v>
      </c>
      <c r="C106" s="32"/>
      <c r="D106" s="32"/>
      <c r="E106" s="32"/>
      <c r="F106" s="44">
        <f aca="true" t="shared" si="12" ref="F106:G108">F107</f>
        <v>451000</v>
      </c>
      <c r="G106" s="44">
        <f t="shared" si="12"/>
        <v>0</v>
      </c>
      <c r="K106" s="81"/>
    </row>
    <row r="107" spans="1:11" s="13" customFormat="1" ht="78.75">
      <c r="A107" s="22" t="s">
        <v>271</v>
      </c>
      <c r="B107" s="23" t="s">
        <v>354</v>
      </c>
      <c r="C107" s="32" t="s">
        <v>272</v>
      </c>
      <c r="D107" s="32"/>
      <c r="E107" s="32"/>
      <c r="F107" s="44">
        <f t="shared" si="12"/>
        <v>451000</v>
      </c>
      <c r="G107" s="44">
        <f t="shared" si="12"/>
        <v>0</v>
      </c>
      <c r="K107" s="81"/>
    </row>
    <row r="108" spans="1:11" s="13" customFormat="1" ht="15.75">
      <c r="A108" s="22" t="s">
        <v>53</v>
      </c>
      <c r="B108" s="23" t="s">
        <v>354</v>
      </c>
      <c r="C108" s="32" t="s">
        <v>272</v>
      </c>
      <c r="D108" s="32" t="s">
        <v>268</v>
      </c>
      <c r="E108" s="32"/>
      <c r="F108" s="44">
        <f t="shared" si="12"/>
        <v>451000</v>
      </c>
      <c r="G108" s="44">
        <f t="shared" si="12"/>
        <v>0</v>
      </c>
      <c r="K108" s="81"/>
    </row>
    <row r="109" spans="1:11" s="13" customFormat="1" ht="63">
      <c r="A109" s="22" t="s">
        <v>125</v>
      </c>
      <c r="B109" s="23" t="s">
        <v>354</v>
      </c>
      <c r="C109" s="32" t="s">
        <v>272</v>
      </c>
      <c r="D109" s="32" t="s">
        <v>268</v>
      </c>
      <c r="E109" s="32" t="s">
        <v>269</v>
      </c>
      <c r="F109" s="44">
        <f>391000+60000</f>
        <v>451000</v>
      </c>
      <c r="G109" s="44">
        <f>0</f>
        <v>0</v>
      </c>
      <c r="K109" s="81"/>
    </row>
    <row r="110" spans="1:11" s="13" customFormat="1" ht="63">
      <c r="A110" s="25" t="s">
        <v>323</v>
      </c>
      <c r="B110" s="21" t="s">
        <v>322</v>
      </c>
      <c r="C110" s="32"/>
      <c r="D110" s="32"/>
      <c r="E110" s="32"/>
      <c r="F110" s="44">
        <f aca="true" t="shared" si="13" ref="F110:G112">F111</f>
        <v>25000</v>
      </c>
      <c r="G110" s="44">
        <f t="shared" si="13"/>
        <v>0</v>
      </c>
      <c r="K110" s="81"/>
    </row>
    <row r="111" spans="1:11" s="13" customFormat="1" ht="78.75">
      <c r="A111" s="25" t="s">
        <v>271</v>
      </c>
      <c r="B111" s="21" t="s">
        <v>322</v>
      </c>
      <c r="C111" s="32" t="s">
        <v>272</v>
      </c>
      <c r="D111" s="32"/>
      <c r="E111" s="32"/>
      <c r="F111" s="44">
        <f t="shared" si="13"/>
        <v>25000</v>
      </c>
      <c r="G111" s="44">
        <f t="shared" si="13"/>
        <v>0</v>
      </c>
      <c r="K111" s="81"/>
    </row>
    <row r="112" spans="1:11" s="13" customFormat="1" ht="15.75">
      <c r="A112" s="22" t="s">
        <v>53</v>
      </c>
      <c r="B112" s="21" t="s">
        <v>322</v>
      </c>
      <c r="C112" s="32" t="s">
        <v>272</v>
      </c>
      <c r="D112" s="32" t="s">
        <v>268</v>
      </c>
      <c r="E112" s="32"/>
      <c r="F112" s="44">
        <f t="shared" si="13"/>
        <v>25000</v>
      </c>
      <c r="G112" s="44">
        <f t="shared" si="13"/>
        <v>0</v>
      </c>
      <c r="K112" s="81"/>
    </row>
    <row r="113" spans="1:11" s="13" customFormat="1" ht="63">
      <c r="A113" s="22" t="s">
        <v>125</v>
      </c>
      <c r="B113" s="21" t="s">
        <v>322</v>
      </c>
      <c r="C113" s="32" t="s">
        <v>272</v>
      </c>
      <c r="D113" s="32" t="s">
        <v>268</v>
      </c>
      <c r="E113" s="32" t="s">
        <v>269</v>
      </c>
      <c r="F113" s="44">
        <v>25000</v>
      </c>
      <c r="G113" s="44">
        <v>0</v>
      </c>
      <c r="K113" s="81"/>
    </row>
    <row r="114" spans="1:11" s="13" customFormat="1" ht="94.5">
      <c r="A114" s="22" t="s">
        <v>52</v>
      </c>
      <c r="B114" s="21" t="s">
        <v>128</v>
      </c>
      <c r="C114" s="32"/>
      <c r="D114" s="32"/>
      <c r="E114" s="32"/>
      <c r="F114" s="44">
        <f>F115+F118</f>
        <v>881000</v>
      </c>
      <c r="G114" s="44">
        <f>G115+G118</f>
        <v>881000</v>
      </c>
      <c r="K114" s="81"/>
    </row>
    <row r="115" spans="1:11" s="13" customFormat="1" ht="78.75">
      <c r="A115" s="22" t="s">
        <v>271</v>
      </c>
      <c r="B115" s="21" t="s">
        <v>128</v>
      </c>
      <c r="C115" s="31" t="s">
        <v>272</v>
      </c>
      <c r="D115" s="32"/>
      <c r="E115" s="32"/>
      <c r="F115" s="44">
        <f>F116</f>
        <v>777500</v>
      </c>
      <c r="G115" s="44">
        <f>G116</f>
        <v>777500</v>
      </c>
      <c r="K115" s="81"/>
    </row>
    <row r="116" spans="1:11" s="13" customFormat="1" ht="15.75">
      <c r="A116" s="20" t="s">
        <v>264</v>
      </c>
      <c r="B116" s="21" t="s">
        <v>128</v>
      </c>
      <c r="C116" s="31" t="s">
        <v>272</v>
      </c>
      <c r="D116" s="32" t="s">
        <v>265</v>
      </c>
      <c r="E116" s="32"/>
      <c r="F116" s="44">
        <f>F117</f>
        <v>777500</v>
      </c>
      <c r="G116" s="44">
        <f>G117</f>
        <v>777500</v>
      </c>
      <c r="K116" s="81"/>
    </row>
    <row r="117" spans="1:11" s="13" customFormat="1" ht="15.75">
      <c r="A117" s="20" t="s">
        <v>1</v>
      </c>
      <c r="B117" s="21" t="s">
        <v>128</v>
      </c>
      <c r="C117" s="31" t="s">
        <v>272</v>
      </c>
      <c r="D117" s="32" t="s">
        <v>265</v>
      </c>
      <c r="E117" s="32" t="s">
        <v>269</v>
      </c>
      <c r="F117" s="44">
        <v>777500</v>
      </c>
      <c r="G117" s="44">
        <v>777500</v>
      </c>
      <c r="K117" s="81"/>
    </row>
    <row r="118" spans="1:7" ht="31.5">
      <c r="A118" s="22" t="s">
        <v>260</v>
      </c>
      <c r="B118" s="21" t="s">
        <v>128</v>
      </c>
      <c r="C118" s="32" t="s">
        <v>261</v>
      </c>
      <c r="D118" s="32"/>
      <c r="E118" s="32"/>
      <c r="F118" s="44">
        <f>F119</f>
        <v>103500</v>
      </c>
      <c r="G118" s="44">
        <f>G119</f>
        <v>103500</v>
      </c>
    </row>
    <row r="119" spans="1:7" ht="15.75">
      <c r="A119" s="20" t="s">
        <v>264</v>
      </c>
      <c r="B119" s="21" t="s">
        <v>128</v>
      </c>
      <c r="C119" s="32" t="s">
        <v>261</v>
      </c>
      <c r="D119" s="32" t="s">
        <v>265</v>
      </c>
      <c r="E119" s="32"/>
      <c r="F119" s="44">
        <f>F120</f>
        <v>103500</v>
      </c>
      <c r="G119" s="44">
        <f>G120</f>
        <v>103500</v>
      </c>
    </row>
    <row r="120" spans="1:7" ht="15.75">
      <c r="A120" s="20" t="s">
        <v>1</v>
      </c>
      <c r="B120" s="21" t="s">
        <v>128</v>
      </c>
      <c r="C120" s="32" t="s">
        <v>261</v>
      </c>
      <c r="D120" s="32" t="s">
        <v>265</v>
      </c>
      <c r="E120" s="32" t="s">
        <v>269</v>
      </c>
      <c r="F120" s="44">
        <v>103500</v>
      </c>
      <c r="G120" s="44">
        <v>103500</v>
      </c>
    </row>
    <row r="121" spans="1:7" ht="110.25">
      <c r="A121" s="20" t="s">
        <v>47</v>
      </c>
      <c r="B121" s="21" t="s">
        <v>129</v>
      </c>
      <c r="C121" s="31"/>
      <c r="D121" s="31"/>
      <c r="E121" s="31"/>
      <c r="F121" s="44">
        <f aca="true" t="shared" si="14" ref="F121:G123">F122</f>
        <v>8600</v>
      </c>
      <c r="G121" s="44">
        <f t="shared" si="14"/>
        <v>8600</v>
      </c>
    </row>
    <row r="122" spans="1:7" ht="78.75">
      <c r="A122" s="22" t="s">
        <v>271</v>
      </c>
      <c r="B122" s="21" t="s">
        <v>129</v>
      </c>
      <c r="C122" s="31" t="s">
        <v>272</v>
      </c>
      <c r="D122" s="32"/>
      <c r="E122" s="32"/>
      <c r="F122" s="44">
        <f t="shared" si="14"/>
        <v>8600</v>
      </c>
      <c r="G122" s="44">
        <f t="shared" si="14"/>
        <v>8600</v>
      </c>
    </row>
    <row r="123" spans="1:7" ht="15.75">
      <c r="A123" s="20" t="s">
        <v>264</v>
      </c>
      <c r="B123" s="21" t="s">
        <v>129</v>
      </c>
      <c r="C123" s="31" t="s">
        <v>272</v>
      </c>
      <c r="D123" s="32" t="s">
        <v>265</v>
      </c>
      <c r="E123" s="32"/>
      <c r="F123" s="44">
        <f t="shared" si="14"/>
        <v>8600</v>
      </c>
      <c r="G123" s="44">
        <f t="shared" si="14"/>
        <v>8600</v>
      </c>
    </row>
    <row r="124" spans="1:7" ht="15.75">
      <c r="A124" s="20" t="s">
        <v>1</v>
      </c>
      <c r="B124" s="21" t="s">
        <v>129</v>
      </c>
      <c r="C124" s="31" t="s">
        <v>272</v>
      </c>
      <c r="D124" s="32" t="s">
        <v>265</v>
      </c>
      <c r="E124" s="32" t="s">
        <v>269</v>
      </c>
      <c r="F124" s="44">
        <v>8600</v>
      </c>
      <c r="G124" s="44">
        <v>8600</v>
      </c>
    </row>
    <row r="125" spans="1:11" s="14" customFormat="1" ht="63">
      <c r="A125" s="19" t="s">
        <v>293</v>
      </c>
      <c r="B125" s="18" t="s">
        <v>132</v>
      </c>
      <c r="C125" s="30"/>
      <c r="D125" s="30"/>
      <c r="E125" s="30"/>
      <c r="F125" s="43">
        <f>F126</f>
        <v>8640800</v>
      </c>
      <c r="G125" s="43">
        <f>G126</f>
        <v>0</v>
      </c>
      <c r="K125" s="78"/>
    </row>
    <row r="126" spans="1:7" ht="63">
      <c r="A126" s="22" t="s">
        <v>14</v>
      </c>
      <c r="B126" s="21" t="s">
        <v>133</v>
      </c>
      <c r="C126" s="31"/>
      <c r="D126" s="31"/>
      <c r="E126" s="31"/>
      <c r="F126" s="44">
        <f>F127+F130</f>
        <v>8640800</v>
      </c>
      <c r="G126" s="44">
        <v>0</v>
      </c>
    </row>
    <row r="127" spans="1:7" ht="78.75">
      <c r="A127" s="22" t="s">
        <v>271</v>
      </c>
      <c r="B127" s="21" t="s">
        <v>133</v>
      </c>
      <c r="C127" s="31" t="s">
        <v>272</v>
      </c>
      <c r="D127" s="31"/>
      <c r="E127" s="31"/>
      <c r="F127" s="44">
        <f>F128</f>
        <v>8100100</v>
      </c>
      <c r="G127" s="44">
        <f>G128</f>
        <v>0</v>
      </c>
    </row>
    <row r="128" spans="1:7" ht="15.75">
      <c r="A128" s="20" t="s">
        <v>253</v>
      </c>
      <c r="B128" s="21" t="s">
        <v>133</v>
      </c>
      <c r="C128" s="31" t="s">
        <v>272</v>
      </c>
      <c r="D128" s="31" t="s">
        <v>254</v>
      </c>
      <c r="E128" s="31"/>
      <c r="F128" s="44">
        <f>F129</f>
        <v>8100100</v>
      </c>
      <c r="G128" s="44">
        <f>G129</f>
        <v>0</v>
      </c>
    </row>
    <row r="129" spans="1:7" ht="15.75">
      <c r="A129" s="20" t="s">
        <v>255</v>
      </c>
      <c r="B129" s="21" t="s">
        <v>133</v>
      </c>
      <c r="C129" s="31" t="s">
        <v>272</v>
      </c>
      <c r="D129" s="31" t="s">
        <v>254</v>
      </c>
      <c r="E129" s="31" t="s">
        <v>256</v>
      </c>
      <c r="F129" s="44">
        <f>8046100+60000-6000</f>
        <v>8100100</v>
      </c>
      <c r="G129" s="44">
        <v>0</v>
      </c>
    </row>
    <row r="130" spans="1:7" ht="31.5">
      <c r="A130" s="22" t="s">
        <v>260</v>
      </c>
      <c r="B130" s="21" t="s">
        <v>133</v>
      </c>
      <c r="C130" s="32" t="s">
        <v>261</v>
      </c>
      <c r="D130" s="31"/>
      <c r="E130" s="31"/>
      <c r="F130" s="44">
        <f>F131</f>
        <v>540700</v>
      </c>
      <c r="G130" s="44">
        <f>G131</f>
        <v>0</v>
      </c>
    </row>
    <row r="131" spans="1:7" ht="15.75">
      <c r="A131" s="20" t="s">
        <v>253</v>
      </c>
      <c r="B131" s="21" t="s">
        <v>133</v>
      </c>
      <c r="C131" s="32" t="s">
        <v>261</v>
      </c>
      <c r="D131" s="31" t="s">
        <v>254</v>
      </c>
      <c r="E131" s="31"/>
      <c r="F131" s="44">
        <f>F132</f>
        <v>540700</v>
      </c>
      <c r="G131" s="44">
        <f>G132</f>
        <v>0</v>
      </c>
    </row>
    <row r="132" spans="1:7" ht="15.75">
      <c r="A132" s="20" t="s">
        <v>255</v>
      </c>
      <c r="B132" s="21" t="s">
        <v>133</v>
      </c>
      <c r="C132" s="32" t="s">
        <v>261</v>
      </c>
      <c r="D132" s="31" t="s">
        <v>254</v>
      </c>
      <c r="E132" s="31" t="s">
        <v>256</v>
      </c>
      <c r="F132" s="44">
        <f>594700-60000+900+700+26000+5400-36000-1000+10000</f>
        <v>540700</v>
      </c>
      <c r="G132" s="44">
        <v>0</v>
      </c>
    </row>
    <row r="133" spans="1:11" s="11" customFormat="1" ht="63">
      <c r="A133" s="19" t="s">
        <v>319</v>
      </c>
      <c r="B133" s="18" t="s">
        <v>318</v>
      </c>
      <c r="C133" s="30"/>
      <c r="D133" s="30"/>
      <c r="E133" s="30"/>
      <c r="F133" s="59">
        <f aca="true" t="shared" si="15" ref="F133:G136">F134</f>
        <v>15957040</v>
      </c>
      <c r="G133" s="59">
        <f t="shared" si="15"/>
        <v>0</v>
      </c>
      <c r="K133" s="78"/>
    </row>
    <row r="134" spans="1:7" ht="63">
      <c r="A134" s="22" t="s">
        <v>14</v>
      </c>
      <c r="B134" s="23" t="s">
        <v>316</v>
      </c>
      <c r="C134" s="32"/>
      <c r="D134" s="31"/>
      <c r="E134" s="31"/>
      <c r="F134" s="44">
        <f t="shared" si="15"/>
        <v>15957040</v>
      </c>
      <c r="G134" s="44">
        <f t="shared" si="15"/>
        <v>0</v>
      </c>
    </row>
    <row r="135" spans="1:7" ht="31.5">
      <c r="A135" s="22" t="s">
        <v>251</v>
      </c>
      <c r="B135" s="23" t="s">
        <v>317</v>
      </c>
      <c r="C135" s="32" t="s">
        <v>252</v>
      </c>
      <c r="D135" s="31"/>
      <c r="E135" s="31"/>
      <c r="F135" s="44">
        <f t="shared" si="15"/>
        <v>15957040</v>
      </c>
      <c r="G135" s="44">
        <f t="shared" si="15"/>
        <v>0</v>
      </c>
    </row>
    <row r="136" spans="1:7" ht="15.75">
      <c r="A136" s="22" t="s">
        <v>53</v>
      </c>
      <c r="B136" s="23" t="s">
        <v>316</v>
      </c>
      <c r="C136" s="32" t="s">
        <v>252</v>
      </c>
      <c r="D136" s="32" t="s">
        <v>268</v>
      </c>
      <c r="E136" s="31"/>
      <c r="F136" s="44">
        <f t="shared" si="15"/>
        <v>15957040</v>
      </c>
      <c r="G136" s="44">
        <f t="shared" si="15"/>
        <v>0</v>
      </c>
    </row>
    <row r="137" spans="1:7" ht="15.75">
      <c r="A137" s="22" t="s">
        <v>54</v>
      </c>
      <c r="B137" s="23" t="s">
        <v>316</v>
      </c>
      <c r="C137" s="32" t="s">
        <v>252</v>
      </c>
      <c r="D137" s="32" t="s">
        <v>268</v>
      </c>
      <c r="E137" s="32" t="s">
        <v>55</v>
      </c>
      <c r="F137" s="44">
        <f>16721120-570000-24000-170080</f>
        <v>15957040</v>
      </c>
      <c r="G137" s="44">
        <v>0</v>
      </c>
    </row>
    <row r="138" spans="1:11" s="11" customFormat="1" ht="31.5">
      <c r="A138" s="17" t="s">
        <v>135</v>
      </c>
      <c r="B138" s="18" t="s">
        <v>134</v>
      </c>
      <c r="C138" s="30"/>
      <c r="D138" s="30"/>
      <c r="E138" s="30"/>
      <c r="F138" s="43">
        <f>F139+F173</f>
        <v>14443091.82</v>
      </c>
      <c r="G138" s="43">
        <f>G139+G173</f>
        <v>13772000</v>
      </c>
      <c r="K138" s="78"/>
    </row>
    <row r="139" spans="1:11" s="14" customFormat="1" ht="47.25">
      <c r="A139" s="19" t="s">
        <v>136</v>
      </c>
      <c r="B139" s="18" t="s">
        <v>137</v>
      </c>
      <c r="C139" s="30"/>
      <c r="D139" s="30"/>
      <c r="E139" s="30"/>
      <c r="F139" s="43">
        <f>F140+F144+F154+F158+F162+F166</f>
        <v>11249691.82</v>
      </c>
      <c r="G139" s="43">
        <f>G140+G144+G154+G158+G162+G166</f>
        <v>10677600</v>
      </c>
      <c r="K139" s="78"/>
    </row>
    <row r="140" spans="1:7" ht="15.75">
      <c r="A140" s="20" t="s">
        <v>139</v>
      </c>
      <c r="B140" s="21" t="s">
        <v>138</v>
      </c>
      <c r="C140" s="31"/>
      <c r="D140" s="31"/>
      <c r="E140" s="31"/>
      <c r="F140" s="44">
        <f>F141</f>
        <v>137091.82</v>
      </c>
      <c r="G140" s="44">
        <v>0</v>
      </c>
    </row>
    <row r="141" spans="1:7" ht="15.75">
      <c r="A141" s="20" t="s">
        <v>262</v>
      </c>
      <c r="B141" s="21" t="s">
        <v>138</v>
      </c>
      <c r="C141" s="31" t="s">
        <v>263</v>
      </c>
      <c r="D141" s="31"/>
      <c r="E141" s="31"/>
      <c r="F141" s="44">
        <f>F142</f>
        <v>137091.82</v>
      </c>
      <c r="G141" s="44">
        <f>G142</f>
        <v>0</v>
      </c>
    </row>
    <row r="142" spans="1:7" ht="15.75">
      <c r="A142" s="20" t="s">
        <v>264</v>
      </c>
      <c r="B142" s="21" t="s">
        <v>138</v>
      </c>
      <c r="C142" s="31" t="s">
        <v>263</v>
      </c>
      <c r="D142" s="31" t="s">
        <v>265</v>
      </c>
      <c r="E142" s="31"/>
      <c r="F142" s="44">
        <f>F143</f>
        <v>137091.82</v>
      </c>
      <c r="G142" s="44">
        <f>G143</f>
        <v>0</v>
      </c>
    </row>
    <row r="143" spans="1:7" ht="15.75">
      <c r="A143" s="20" t="s">
        <v>9</v>
      </c>
      <c r="B143" s="21" t="s">
        <v>138</v>
      </c>
      <c r="C143" s="31" t="s">
        <v>263</v>
      </c>
      <c r="D143" s="31" t="s">
        <v>265</v>
      </c>
      <c r="E143" s="31" t="s">
        <v>268</v>
      </c>
      <c r="F143" s="44">
        <f>147800+6000+6000-2266.5-20441.68</f>
        <v>137091.82</v>
      </c>
      <c r="G143" s="44">
        <v>0</v>
      </c>
    </row>
    <row r="144" spans="1:7" ht="31.5">
      <c r="A144" s="20" t="s">
        <v>141</v>
      </c>
      <c r="B144" s="21" t="s">
        <v>140</v>
      </c>
      <c r="C144" s="31"/>
      <c r="D144" s="31"/>
      <c r="E144" s="31"/>
      <c r="F144" s="44">
        <f>F145+F148+F151</f>
        <v>413000</v>
      </c>
      <c r="G144" s="44">
        <v>0</v>
      </c>
    </row>
    <row r="145" spans="1:7" ht="31.5">
      <c r="A145" s="22" t="s">
        <v>260</v>
      </c>
      <c r="B145" s="21" t="s">
        <v>140</v>
      </c>
      <c r="C145" s="31" t="s">
        <v>261</v>
      </c>
      <c r="D145" s="31"/>
      <c r="E145" s="31"/>
      <c r="F145" s="44">
        <f>F146</f>
        <v>23495.39</v>
      </c>
      <c r="G145" s="44">
        <f>G146</f>
        <v>0</v>
      </c>
    </row>
    <row r="146" spans="1:7" ht="15.75">
      <c r="A146" s="22" t="s">
        <v>53</v>
      </c>
      <c r="B146" s="21" t="s">
        <v>140</v>
      </c>
      <c r="C146" s="31" t="s">
        <v>261</v>
      </c>
      <c r="D146" s="31" t="s">
        <v>268</v>
      </c>
      <c r="E146" s="31"/>
      <c r="F146" s="44">
        <f>F147</f>
        <v>23495.39</v>
      </c>
      <c r="G146" s="44">
        <f>G147</f>
        <v>0</v>
      </c>
    </row>
    <row r="147" spans="1:7" ht="15.75">
      <c r="A147" s="22" t="s">
        <v>54</v>
      </c>
      <c r="B147" s="21" t="s">
        <v>140</v>
      </c>
      <c r="C147" s="31" t="s">
        <v>261</v>
      </c>
      <c r="D147" s="31" t="s">
        <v>268</v>
      </c>
      <c r="E147" s="31" t="s">
        <v>55</v>
      </c>
      <c r="F147" s="44">
        <f>34000-10000-504.61</f>
        <v>23495.39</v>
      </c>
      <c r="G147" s="44">
        <v>0</v>
      </c>
    </row>
    <row r="148" spans="1:7" ht="31.5">
      <c r="A148" s="22" t="s">
        <v>251</v>
      </c>
      <c r="B148" s="21" t="s">
        <v>140</v>
      </c>
      <c r="C148" s="31" t="s">
        <v>252</v>
      </c>
      <c r="D148" s="31"/>
      <c r="E148" s="31"/>
      <c r="F148" s="44">
        <f>F149</f>
        <v>340000</v>
      </c>
      <c r="G148" s="44">
        <f>G149</f>
        <v>0</v>
      </c>
    </row>
    <row r="149" spans="1:7" ht="15.75">
      <c r="A149" s="20" t="s">
        <v>59</v>
      </c>
      <c r="B149" s="21" t="s">
        <v>140</v>
      </c>
      <c r="C149" s="31" t="s">
        <v>252</v>
      </c>
      <c r="D149" s="31" t="s">
        <v>275</v>
      </c>
      <c r="E149" s="31"/>
      <c r="F149" s="44">
        <f>F150</f>
        <v>340000</v>
      </c>
      <c r="G149" s="44">
        <f>G150</f>
        <v>0</v>
      </c>
    </row>
    <row r="150" spans="1:7" ht="31.5">
      <c r="A150" s="20" t="s">
        <v>60</v>
      </c>
      <c r="B150" s="21" t="s">
        <v>140</v>
      </c>
      <c r="C150" s="31" t="s">
        <v>252</v>
      </c>
      <c r="D150" s="31" t="s">
        <v>275</v>
      </c>
      <c r="E150" s="31" t="s">
        <v>275</v>
      </c>
      <c r="F150" s="44">
        <f>200000+140000</f>
        <v>340000</v>
      </c>
      <c r="G150" s="44">
        <v>0</v>
      </c>
    </row>
    <row r="151" spans="1:7" ht="31.5">
      <c r="A151" s="22" t="s">
        <v>260</v>
      </c>
      <c r="B151" s="21" t="s">
        <v>140</v>
      </c>
      <c r="C151" s="31" t="s">
        <v>261</v>
      </c>
      <c r="D151" s="31"/>
      <c r="E151" s="31"/>
      <c r="F151" s="44">
        <f>F152</f>
        <v>49504.61</v>
      </c>
      <c r="G151" s="44">
        <f>G152</f>
        <v>0</v>
      </c>
    </row>
    <row r="152" spans="1:7" ht="15.75">
      <c r="A152" s="20" t="s">
        <v>142</v>
      </c>
      <c r="B152" s="21" t="s">
        <v>140</v>
      </c>
      <c r="C152" s="31" t="s">
        <v>261</v>
      </c>
      <c r="D152" s="31" t="s">
        <v>256</v>
      </c>
      <c r="E152" s="31"/>
      <c r="F152" s="44">
        <f>F153</f>
        <v>49504.61</v>
      </c>
      <c r="G152" s="44">
        <f>G153</f>
        <v>0</v>
      </c>
    </row>
    <row r="153" spans="1:7" ht="15.75">
      <c r="A153" s="20" t="s">
        <v>259</v>
      </c>
      <c r="B153" s="21" t="s">
        <v>140</v>
      </c>
      <c r="C153" s="31" t="s">
        <v>261</v>
      </c>
      <c r="D153" s="31" t="s">
        <v>256</v>
      </c>
      <c r="E153" s="31" t="s">
        <v>256</v>
      </c>
      <c r="F153" s="44">
        <f>90000-41000+504.61</f>
        <v>49504.61</v>
      </c>
      <c r="G153" s="44">
        <f>0</f>
        <v>0</v>
      </c>
    </row>
    <row r="154" spans="1:7" ht="47.25">
      <c r="A154" s="20" t="s">
        <v>168</v>
      </c>
      <c r="B154" s="21" t="s">
        <v>143</v>
      </c>
      <c r="C154" s="31"/>
      <c r="D154" s="31"/>
      <c r="E154" s="31"/>
      <c r="F154" s="44">
        <f>F155</f>
        <v>2000</v>
      </c>
      <c r="G154" s="44">
        <v>0</v>
      </c>
    </row>
    <row r="155" spans="1:7" ht="15.75">
      <c r="A155" s="20" t="s">
        <v>262</v>
      </c>
      <c r="B155" s="21" t="s">
        <v>143</v>
      </c>
      <c r="C155" s="32" t="s">
        <v>263</v>
      </c>
      <c r="D155" s="31"/>
      <c r="E155" s="31"/>
      <c r="F155" s="44">
        <f>F156</f>
        <v>2000</v>
      </c>
      <c r="G155" s="44">
        <f>G156</f>
        <v>0</v>
      </c>
    </row>
    <row r="156" spans="1:7" ht="15.75">
      <c r="A156" s="20" t="s">
        <v>53</v>
      </c>
      <c r="B156" s="21" t="s">
        <v>143</v>
      </c>
      <c r="C156" s="32" t="s">
        <v>263</v>
      </c>
      <c r="D156" s="31" t="s">
        <v>268</v>
      </c>
      <c r="E156" s="31"/>
      <c r="F156" s="44">
        <f>F157</f>
        <v>2000</v>
      </c>
      <c r="G156" s="44">
        <f>G157</f>
        <v>0</v>
      </c>
    </row>
    <row r="157" spans="1:7" ht="15.75">
      <c r="A157" s="20" t="s">
        <v>54</v>
      </c>
      <c r="B157" s="21" t="s">
        <v>143</v>
      </c>
      <c r="C157" s="32" t="s">
        <v>263</v>
      </c>
      <c r="D157" s="31" t="s">
        <v>268</v>
      </c>
      <c r="E157" s="31" t="s">
        <v>55</v>
      </c>
      <c r="F157" s="44">
        <v>2000</v>
      </c>
      <c r="G157" s="44">
        <v>0</v>
      </c>
    </row>
    <row r="158" spans="1:7" ht="63">
      <c r="A158" s="20" t="s">
        <v>199</v>
      </c>
      <c r="B158" s="21" t="s">
        <v>144</v>
      </c>
      <c r="C158" s="31"/>
      <c r="D158" s="31"/>
      <c r="E158" s="31"/>
      <c r="F158" s="44">
        <f>F159</f>
        <v>20000</v>
      </c>
      <c r="G158" s="44">
        <v>0</v>
      </c>
    </row>
    <row r="159" spans="1:7" ht="31.5">
      <c r="A159" s="20" t="s">
        <v>251</v>
      </c>
      <c r="B159" s="21" t="s">
        <v>144</v>
      </c>
      <c r="C159" s="31" t="s">
        <v>252</v>
      </c>
      <c r="D159" s="31"/>
      <c r="E159" s="31"/>
      <c r="F159" s="44">
        <f>F160</f>
        <v>20000</v>
      </c>
      <c r="G159" s="44">
        <f>G160</f>
        <v>0</v>
      </c>
    </row>
    <row r="160" spans="1:7" ht="15.75">
      <c r="A160" s="20" t="s">
        <v>59</v>
      </c>
      <c r="B160" s="21" t="s">
        <v>144</v>
      </c>
      <c r="C160" s="31" t="s">
        <v>252</v>
      </c>
      <c r="D160" s="31" t="s">
        <v>275</v>
      </c>
      <c r="E160" s="31"/>
      <c r="F160" s="44">
        <f>F161</f>
        <v>20000</v>
      </c>
      <c r="G160" s="44">
        <f>G161</f>
        <v>0</v>
      </c>
    </row>
    <row r="161" spans="1:7" ht="31.5">
      <c r="A161" s="20" t="s">
        <v>60</v>
      </c>
      <c r="B161" s="21" t="s">
        <v>144</v>
      </c>
      <c r="C161" s="31" t="s">
        <v>252</v>
      </c>
      <c r="D161" s="31" t="s">
        <v>275</v>
      </c>
      <c r="E161" s="31" t="s">
        <v>275</v>
      </c>
      <c r="F161" s="44">
        <v>20000</v>
      </c>
      <c r="G161" s="44">
        <v>0</v>
      </c>
    </row>
    <row r="162" spans="1:7" ht="78.75">
      <c r="A162" s="20" t="s">
        <v>45</v>
      </c>
      <c r="B162" s="21" t="s">
        <v>145</v>
      </c>
      <c r="C162" s="31"/>
      <c r="D162" s="31"/>
      <c r="E162" s="31"/>
      <c r="F162" s="44">
        <f aca="true" t="shared" si="16" ref="F162:G164">F163</f>
        <v>78400</v>
      </c>
      <c r="G162" s="44">
        <f t="shared" si="16"/>
        <v>78400</v>
      </c>
    </row>
    <row r="163" spans="1:7" ht="31.5">
      <c r="A163" s="20" t="s">
        <v>251</v>
      </c>
      <c r="B163" s="21" t="s">
        <v>145</v>
      </c>
      <c r="C163" s="31" t="s">
        <v>252</v>
      </c>
      <c r="D163" s="31"/>
      <c r="E163" s="31"/>
      <c r="F163" s="44">
        <f t="shared" si="16"/>
        <v>78400</v>
      </c>
      <c r="G163" s="44">
        <f t="shared" si="16"/>
        <v>78400</v>
      </c>
    </row>
    <row r="164" spans="1:7" ht="15.75">
      <c r="A164" s="20" t="s">
        <v>264</v>
      </c>
      <c r="B164" s="21" t="s">
        <v>145</v>
      </c>
      <c r="C164" s="31" t="s">
        <v>252</v>
      </c>
      <c r="D164" s="31" t="s">
        <v>265</v>
      </c>
      <c r="E164" s="31"/>
      <c r="F164" s="44">
        <f t="shared" si="16"/>
        <v>78400</v>
      </c>
      <c r="G164" s="44">
        <f t="shared" si="16"/>
        <v>78400</v>
      </c>
    </row>
    <row r="165" spans="1:7" ht="15.75">
      <c r="A165" s="20" t="s">
        <v>266</v>
      </c>
      <c r="B165" s="21" t="s">
        <v>145</v>
      </c>
      <c r="C165" s="31" t="s">
        <v>252</v>
      </c>
      <c r="D165" s="31" t="s">
        <v>265</v>
      </c>
      <c r="E165" s="31" t="s">
        <v>258</v>
      </c>
      <c r="F165" s="44">
        <f>78400+400-400</f>
        <v>78400</v>
      </c>
      <c r="G165" s="44">
        <f>F165</f>
        <v>78400</v>
      </c>
    </row>
    <row r="166" spans="1:7" ht="78.75">
      <c r="A166" s="20" t="s">
        <v>46</v>
      </c>
      <c r="B166" s="21" t="s">
        <v>146</v>
      </c>
      <c r="C166" s="31"/>
      <c r="D166" s="31"/>
      <c r="E166" s="31"/>
      <c r="F166" s="44">
        <f>F170+F167</f>
        <v>10599200</v>
      </c>
      <c r="G166" s="44">
        <f>G170+G167</f>
        <v>10599200</v>
      </c>
    </row>
    <row r="167" spans="1:7" ht="15.75">
      <c r="A167" s="22" t="s">
        <v>262</v>
      </c>
      <c r="B167" s="21" t="s">
        <v>146</v>
      </c>
      <c r="C167" s="31" t="s">
        <v>263</v>
      </c>
      <c r="D167" s="31"/>
      <c r="E167" s="31"/>
      <c r="F167" s="44">
        <f>F168</f>
        <v>275700</v>
      </c>
      <c r="G167" s="44">
        <f>G168</f>
        <v>275700</v>
      </c>
    </row>
    <row r="168" spans="1:7" ht="15.75">
      <c r="A168" s="20" t="s">
        <v>264</v>
      </c>
      <c r="B168" s="21" t="s">
        <v>146</v>
      </c>
      <c r="C168" s="31" t="s">
        <v>263</v>
      </c>
      <c r="D168" s="31" t="s">
        <v>265</v>
      </c>
      <c r="E168" s="31"/>
      <c r="F168" s="44">
        <f>F169</f>
        <v>275700</v>
      </c>
      <c r="G168" s="44">
        <f>G169</f>
        <v>275700</v>
      </c>
    </row>
    <row r="169" spans="1:7" ht="15.75">
      <c r="A169" s="20" t="s">
        <v>266</v>
      </c>
      <c r="B169" s="21" t="s">
        <v>146</v>
      </c>
      <c r="C169" s="31" t="s">
        <v>263</v>
      </c>
      <c r="D169" s="31" t="s">
        <v>265</v>
      </c>
      <c r="E169" s="31" t="s">
        <v>258</v>
      </c>
      <c r="F169" s="44">
        <v>275700</v>
      </c>
      <c r="G169" s="44">
        <v>275700</v>
      </c>
    </row>
    <row r="170" spans="1:7" ht="31.5">
      <c r="A170" s="20" t="s">
        <v>251</v>
      </c>
      <c r="B170" s="21" t="s">
        <v>146</v>
      </c>
      <c r="C170" s="31" t="s">
        <v>252</v>
      </c>
      <c r="D170" s="31"/>
      <c r="E170" s="31"/>
      <c r="F170" s="44">
        <f>F171</f>
        <v>10323500</v>
      </c>
      <c r="G170" s="44">
        <f>G171</f>
        <v>10323500</v>
      </c>
    </row>
    <row r="171" spans="1:7" ht="15.75">
      <c r="A171" s="20" t="s">
        <v>264</v>
      </c>
      <c r="B171" s="21" t="s">
        <v>146</v>
      </c>
      <c r="C171" s="31" t="s">
        <v>252</v>
      </c>
      <c r="D171" s="31" t="s">
        <v>265</v>
      </c>
      <c r="E171" s="31"/>
      <c r="F171" s="44">
        <f>F172</f>
        <v>10323500</v>
      </c>
      <c r="G171" s="44">
        <f>G172</f>
        <v>10323500</v>
      </c>
    </row>
    <row r="172" spans="1:7" ht="15.75">
      <c r="A172" s="20" t="s">
        <v>266</v>
      </c>
      <c r="B172" s="21" t="s">
        <v>146</v>
      </c>
      <c r="C172" s="31" t="s">
        <v>252</v>
      </c>
      <c r="D172" s="31" t="s">
        <v>265</v>
      </c>
      <c r="E172" s="31" t="s">
        <v>258</v>
      </c>
      <c r="F172" s="44">
        <f>11958600-1571000-64100</f>
        <v>10323500</v>
      </c>
      <c r="G172" s="44">
        <f>F172</f>
        <v>10323500</v>
      </c>
    </row>
    <row r="173" spans="1:11" s="14" customFormat="1" ht="47.25">
      <c r="A173" s="19" t="s">
        <v>147</v>
      </c>
      <c r="B173" s="18" t="s">
        <v>148</v>
      </c>
      <c r="C173" s="30"/>
      <c r="D173" s="30"/>
      <c r="E173" s="30"/>
      <c r="F173" s="43">
        <f>F174+F178+F186+F190+F194+F201+F182</f>
        <v>3193400</v>
      </c>
      <c r="G173" s="43">
        <f>G174+G178+G186+G190+G194+G201+G182</f>
        <v>3094400</v>
      </c>
      <c r="K173" s="78"/>
    </row>
    <row r="174" spans="1:7" ht="31.5">
      <c r="A174" s="20" t="s">
        <v>141</v>
      </c>
      <c r="B174" s="21" t="s">
        <v>149</v>
      </c>
      <c r="C174" s="31"/>
      <c r="D174" s="31"/>
      <c r="E174" s="31"/>
      <c r="F174" s="44">
        <f>F175</f>
        <v>45000</v>
      </c>
      <c r="G174" s="44">
        <v>0</v>
      </c>
    </row>
    <row r="175" spans="1:10" ht="31.5">
      <c r="A175" s="20" t="s">
        <v>251</v>
      </c>
      <c r="B175" s="21" t="s">
        <v>149</v>
      </c>
      <c r="C175" s="31" t="s">
        <v>252</v>
      </c>
      <c r="D175" s="31"/>
      <c r="E175" s="31"/>
      <c r="F175" s="44">
        <f>F176</f>
        <v>45000</v>
      </c>
      <c r="G175" s="44">
        <f>G176</f>
        <v>0</v>
      </c>
      <c r="H175" s="44">
        <f>H176</f>
        <v>0</v>
      </c>
      <c r="I175" s="44">
        <f>I176</f>
        <v>0</v>
      </c>
      <c r="J175" s="44">
        <f>J176</f>
        <v>0</v>
      </c>
    </row>
    <row r="176" spans="1:7" ht="15.75">
      <c r="A176" s="20" t="s">
        <v>253</v>
      </c>
      <c r="B176" s="21" t="s">
        <v>149</v>
      </c>
      <c r="C176" s="31" t="s">
        <v>252</v>
      </c>
      <c r="D176" s="31" t="s">
        <v>254</v>
      </c>
      <c r="E176" s="31"/>
      <c r="F176" s="44">
        <f>F177</f>
        <v>45000</v>
      </c>
      <c r="G176" s="44">
        <v>0</v>
      </c>
    </row>
    <row r="177" spans="1:7" ht="15.75">
      <c r="A177" s="20" t="s">
        <v>267</v>
      </c>
      <c r="B177" s="21" t="s">
        <v>149</v>
      </c>
      <c r="C177" s="31" t="s">
        <v>252</v>
      </c>
      <c r="D177" s="31" t="s">
        <v>254</v>
      </c>
      <c r="E177" s="31" t="s">
        <v>254</v>
      </c>
      <c r="F177" s="44">
        <v>45000</v>
      </c>
      <c r="G177" s="44">
        <v>0</v>
      </c>
    </row>
    <row r="178" spans="1:7" ht="47.25">
      <c r="A178" s="20" t="s">
        <v>168</v>
      </c>
      <c r="B178" s="21" t="s">
        <v>150</v>
      </c>
      <c r="C178" s="31"/>
      <c r="D178" s="31"/>
      <c r="E178" s="31"/>
      <c r="F178" s="44">
        <f>F179</f>
        <v>30000</v>
      </c>
      <c r="G178" s="44">
        <v>0</v>
      </c>
    </row>
    <row r="179" spans="1:10" ht="31.5">
      <c r="A179" s="22" t="s">
        <v>251</v>
      </c>
      <c r="B179" s="21" t="s">
        <v>150</v>
      </c>
      <c r="C179" s="31" t="s">
        <v>252</v>
      </c>
      <c r="D179" s="31"/>
      <c r="E179" s="31"/>
      <c r="F179" s="44">
        <f>F180</f>
        <v>30000</v>
      </c>
      <c r="G179" s="44">
        <f>G180</f>
        <v>0</v>
      </c>
      <c r="H179" s="44" t="e">
        <f>H180+#REF!</f>
        <v>#REF!</v>
      </c>
      <c r="I179" s="44" t="e">
        <f>I180+#REF!</f>
        <v>#REF!</v>
      </c>
      <c r="J179" s="44" t="e">
        <f>J180+#REF!</f>
        <v>#REF!</v>
      </c>
    </row>
    <row r="180" spans="1:7" ht="15.75">
      <c r="A180" s="20" t="s">
        <v>253</v>
      </c>
      <c r="B180" s="21" t="s">
        <v>150</v>
      </c>
      <c r="C180" s="31" t="s">
        <v>252</v>
      </c>
      <c r="D180" s="31" t="s">
        <v>254</v>
      </c>
      <c r="E180" s="31"/>
      <c r="F180" s="44">
        <f>F181</f>
        <v>30000</v>
      </c>
      <c r="G180" s="44">
        <v>0</v>
      </c>
    </row>
    <row r="181" spans="1:7" ht="15.75">
      <c r="A181" s="20" t="s">
        <v>267</v>
      </c>
      <c r="B181" s="21" t="s">
        <v>150</v>
      </c>
      <c r="C181" s="31" t="s">
        <v>252</v>
      </c>
      <c r="D181" s="31" t="s">
        <v>254</v>
      </c>
      <c r="E181" s="31" t="s">
        <v>254</v>
      </c>
      <c r="F181" s="44">
        <v>30000</v>
      </c>
      <c r="G181" s="44">
        <v>0</v>
      </c>
    </row>
    <row r="182" spans="1:11" s="74" customFormat="1" ht="15.75">
      <c r="A182" s="76" t="s">
        <v>285</v>
      </c>
      <c r="B182" s="23" t="s">
        <v>350</v>
      </c>
      <c r="C182" s="31"/>
      <c r="D182" s="31"/>
      <c r="E182" s="31"/>
      <c r="F182" s="44">
        <f aca="true" t="shared" si="17" ref="F182:G184">F183</f>
        <v>24000</v>
      </c>
      <c r="G182" s="44">
        <f t="shared" si="17"/>
        <v>0</v>
      </c>
      <c r="K182" s="77"/>
    </row>
    <row r="183" spans="1:11" s="74" customFormat="1" ht="15.75">
      <c r="A183" s="22" t="s">
        <v>262</v>
      </c>
      <c r="B183" s="23" t="s">
        <v>350</v>
      </c>
      <c r="C183" s="32" t="s">
        <v>263</v>
      </c>
      <c r="D183" s="31"/>
      <c r="E183" s="31"/>
      <c r="F183" s="44">
        <f t="shared" si="17"/>
        <v>24000</v>
      </c>
      <c r="G183" s="44">
        <f t="shared" si="17"/>
        <v>0</v>
      </c>
      <c r="K183" s="77"/>
    </row>
    <row r="184" spans="1:11" s="74" customFormat="1" ht="15.75">
      <c r="A184" s="22" t="s">
        <v>264</v>
      </c>
      <c r="B184" s="23" t="s">
        <v>350</v>
      </c>
      <c r="C184" s="32" t="s">
        <v>263</v>
      </c>
      <c r="D184" s="32" t="s">
        <v>265</v>
      </c>
      <c r="E184" s="31"/>
      <c r="F184" s="44">
        <f t="shared" si="17"/>
        <v>24000</v>
      </c>
      <c r="G184" s="44">
        <f t="shared" si="17"/>
        <v>0</v>
      </c>
      <c r="K184" s="77"/>
    </row>
    <row r="185" spans="1:11" s="74" customFormat="1" ht="15.75">
      <c r="A185" s="22" t="s">
        <v>266</v>
      </c>
      <c r="B185" s="23" t="s">
        <v>350</v>
      </c>
      <c r="C185" s="32" t="s">
        <v>263</v>
      </c>
      <c r="D185" s="32" t="s">
        <v>265</v>
      </c>
      <c r="E185" s="32" t="s">
        <v>258</v>
      </c>
      <c r="F185" s="44">
        <v>24000</v>
      </c>
      <c r="G185" s="44">
        <v>0</v>
      </c>
      <c r="K185" s="77"/>
    </row>
    <row r="186" spans="1:7" ht="78.75">
      <c r="A186" s="20" t="s">
        <v>48</v>
      </c>
      <c r="B186" s="21" t="s">
        <v>151</v>
      </c>
      <c r="C186" s="31"/>
      <c r="D186" s="31"/>
      <c r="E186" s="31"/>
      <c r="F186" s="44">
        <f aca="true" t="shared" si="18" ref="F186:G188">F187</f>
        <v>176000</v>
      </c>
      <c r="G186" s="44">
        <f t="shared" si="18"/>
        <v>176000</v>
      </c>
    </row>
    <row r="187" spans="1:7" ht="15.75">
      <c r="A187" s="20" t="s">
        <v>262</v>
      </c>
      <c r="B187" s="21" t="s">
        <v>151</v>
      </c>
      <c r="C187" s="31" t="s">
        <v>263</v>
      </c>
      <c r="D187" s="31"/>
      <c r="E187" s="31"/>
      <c r="F187" s="44">
        <f t="shared" si="18"/>
        <v>176000</v>
      </c>
      <c r="G187" s="44">
        <f t="shared" si="18"/>
        <v>176000</v>
      </c>
    </row>
    <row r="188" spans="1:7" ht="15.75">
      <c r="A188" s="22" t="s">
        <v>264</v>
      </c>
      <c r="B188" s="21" t="s">
        <v>151</v>
      </c>
      <c r="C188" s="31" t="s">
        <v>263</v>
      </c>
      <c r="D188" s="31" t="s">
        <v>265</v>
      </c>
      <c r="E188" s="31"/>
      <c r="F188" s="44">
        <f t="shared" si="18"/>
        <v>176000</v>
      </c>
      <c r="G188" s="44">
        <f t="shared" si="18"/>
        <v>176000</v>
      </c>
    </row>
    <row r="189" spans="1:7" ht="15.75">
      <c r="A189" s="22" t="s">
        <v>266</v>
      </c>
      <c r="B189" s="21" t="s">
        <v>151</v>
      </c>
      <c r="C189" s="31" t="s">
        <v>263</v>
      </c>
      <c r="D189" s="31" t="s">
        <v>265</v>
      </c>
      <c r="E189" s="31" t="s">
        <v>258</v>
      </c>
      <c r="F189" s="44">
        <f>206700-5500-25200</f>
        <v>176000</v>
      </c>
      <c r="G189" s="44">
        <f>F189</f>
        <v>176000</v>
      </c>
    </row>
    <row r="190" spans="1:7" ht="94.5">
      <c r="A190" s="20" t="s">
        <v>49</v>
      </c>
      <c r="B190" s="21" t="s">
        <v>152</v>
      </c>
      <c r="C190" s="31"/>
      <c r="D190" s="31"/>
      <c r="E190" s="31"/>
      <c r="F190" s="44">
        <f aca="true" t="shared" si="19" ref="F190:G192">F191</f>
        <v>3800</v>
      </c>
      <c r="G190" s="44">
        <f t="shared" si="19"/>
        <v>3800</v>
      </c>
    </row>
    <row r="191" spans="1:7" ht="31.5">
      <c r="A191" s="22" t="s">
        <v>251</v>
      </c>
      <c r="B191" s="21" t="s">
        <v>152</v>
      </c>
      <c r="C191" s="32" t="s">
        <v>252</v>
      </c>
      <c r="D191" s="31"/>
      <c r="E191" s="31"/>
      <c r="F191" s="44">
        <f t="shared" si="19"/>
        <v>3800</v>
      </c>
      <c r="G191" s="44">
        <f t="shared" si="19"/>
        <v>3800</v>
      </c>
    </row>
    <row r="192" spans="1:7" ht="15.75">
      <c r="A192" s="20" t="s">
        <v>264</v>
      </c>
      <c r="B192" s="21" t="s">
        <v>152</v>
      </c>
      <c r="C192" s="32" t="s">
        <v>252</v>
      </c>
      <c r="D192" s="31" t="s">
        <v>265</v>
      </c>
      <c r="E192" s="31"/>
      <c r="F192" s="44">
        <f t="shared" si="19"/>
        <v>3800</v>
      </c>
      <c r="G192" s="44">
        <f t="shared" si="19"/>
        <v>3800</v>
      </c>
    </row>
    <row r="193" spans="1:7" ht="15.75">
      <c r="A193" s="20" t="s">
        <v>266</v>
      </c>
      <c r="B193" s="21" t="s">
        <v>152</v>
      </c>
      <c r="C193" s="32" t="s">
        <v>252</v>
      </c>
      <c r="D193" s="31" t="s">
        <v>265</v>
      </c>
      <c r="E193" s="31" t="s">
        <v>258</v>
      </c>
      <c r="F193" s="44">
        <f>4400-600</f>
        <v>3800</v>
      </c>
      <c r="G193" s="44">
        <f>F193</f>
        <v>3800</v>
      </c>
    </row>
    <row r="194" spans="1:7" ht="63">
      <c r="A194" s="20" t="s">
        <v>50</v>
      </c>
      <c r="B194" s="21" t="s">
        <v>153</v>
      </c>
      <c r="C194" s="31"/>
      <c r="D194" s="31"/>
      <c r="E194" s="31"/>
      <c r="F194" s="44">
        <f>F195+F198</f>
        <v>2880600</v>
      </c>
      <c r="G194" s="44">
        <f>G195+G198</f>
        <v>2880600</v>
      </c>
    </row>
    <row r="195" spans="1:7" ht="31.5">
      <c r="A195" s="22" t="s">
        <v>260</v>
      </c>
      <c r="B195" s="21" t="s">
        <v>153</v>
      </c>
      <c r="C195" s="31" t="s">
        <v>261</v>
      </c>
      <c r="D195" s="31"/>
      <c r="E195" s="31"/>
      <c r="F195" s="44">
        <f>F196</f>
        <v>454800</v>
      </c>
      <c r="G195" s="44">
        <f>G196</f>
        <v>454800</v>
      </c>
    </row>
    <row r="196" spans="1:7" ht="15.75">
      <c r="A196" s="20" t="s">
        <v>264</v>
      </c>
      <c r="B196" s="21" t="s">
        <v>153</v>
      </c>
      <c r="C196" s="31" t="s">
        <v>261</v>
      </c>
      <c r="D196" s="31" t="s">
        <v>265</v>
      </c>
      <c r="E196" s="31"/>
      <c r="F196" s="44">
        <f>F197</f>
        <v>454800</v>
      </c>
      <c r="G196" s="44">
        <f>G197</f>
        <v>454800</v>
      </c>
    </row>
    <row r="197" spans="1:7" ht="15.75">
      <c r="A197" s="20" t="s">
        <v>1</v>
      </c>
      <c r="B197" s="21" t="s">
        <v>153</v>
      </c>
      <c r="C197" s="31" t="s">
        <v>261</v>
      </c>
      <c r="D197" s="31" t="s">
        <v>265</v>
      </c>
      <c r="E197" s="31" t="s">
        <v>269</v>
      </c>
      <c r="F197" s="44">
        <f>474800-20000</f>
        <v>454800</v>
      </c>
      <c r="G197" s="44">
        <f>F197</f>
        <v>454800</v>
      </c>
    </row>
    <row r="198" spans="1:7" ht="15.75">
      <c r="A198" s="20" t="s">
        <v>262</v>
      </c>
      <c r="B198" s="21" t="s">
        <v>153</v>
      </c>
      <c r="C198" s="31" t="s">
        <v>263</v>
      </c>
      <c r="D198" s="31"/>
      <c r="E198" s="31"/>
      <c r="F198" s="44">
        <f>F199</f>
        <v>2425800</v>
      </c>
      <c r="G198" s="44">
        <f>G199</f>
        <v>2425800</v>
      </c>
    </row>
    <row r="199" spans="1:7" ht="15.75">
      <c r="A199" s="20" t="s">
        <v>264</v>
      </c>
      <c r="B199" s="21" t="s">
        <v>153</v>
      </c>
      <c r="C199" s="31" t="s">
        <v>263</v>
      </c>
      <c r="D199" s="31" t="s">
        <v>265</v>
      </c>
      <c r="E199" s="31"/>
      <c r="F199" s="44">
        <f>F200</f>
        <v>2425800</v>
      </c>
      <c r="G199" s="44">
        <f>G200</f>
        <v>2425800</v>
      </c>
    </row>
    <row r="200" spans="1:7" ht="15.75">
      <c r="A200" s="20" t="s">
        <v>1</v>
      </c>
      <c r="B200" s="21" t="s">
        <v>153</v>
      </c>
      <c r="C200" s="31" t="s">
        <v>263</v>
      </c>
      <c r="D200" s="31" t="s">
        <v>265</v>
      </c>
      <c r="E200" s="31" t="s">
        <v>269</v>
      </c>
      <c r="F200" s="44">
        <f>2685600-259800</f>
        <v>2425800</v>
      </c>
      <c r="G200" s="44">
        <f>F200</f>
        <v>2425800</v>
      </c>
    </row>
    <row r="201" spans="1:7" ht="78.75">
      <c r="A201" s="20" t="s">
        <v>51</v>
      </c>
      <c r="B201" s="21" t="s">
        <v>154</v>
      </c>
      <c r="C201" s="31"/>
      <c r="D201" s="31"/>
      <c r="E201" s="31"/>
      <c r="F201" s="44">
        <f aca="true" t="shared" si="20" ref="F201:G203">F202</f>
        <v>34000</v>
      </c>
      <c r="G201" s="44">
        <f t="shared" si="20"/>
        <v>34000</v>
      </c>
    </row>
    <row r="202" spans="1:7" ht="31.5">
      <c r="A202" s="22" t="s">
        <v>260</v>
      </c>
      <c r="B202" s="21" t="s">
        <v>154</v>
      </c>
      <c r="C202" s="31" t="s">
        <v>261</v>
      </c>
      <c r="D202" s="31"/>
      <c r="E202" s="31"/>
      <c r="F202" s="44">
        <f t="shared" si="20"/>
        <v>34000</v>
      </c>
      <c r="G202" s="44">
        <f t="shared" si="20"/>
        <v>34000</v>
      </c>
    </row>
    <row r="203" spans="1:7" ht="15.75">
      <c r="A203" s="20" t="s">
        <v>264</v>
      </c>
      <c r="B203" s="21" t="s">
        <v>154</v>
      </c>
      <c r="C203" s="31" t="s">
        <v>261</v>
      </c>
      <c r="D203" s="31" t="s">
        <v>265</v>
      </c>
      <c r="E203" s="31"/>
      <c r="F203" s="44">
        <f t="shared" si="20"/>
        <v>34000</v>
      </c>
      <c r="G203" s="44">
        <f t="shared" si="20"/>
        <v>34000</v>
      </c>
    </row>
    <row r="204" spans="1:7" ht="15.75">
      <c r="A204" s="20" t="s">
        <v>1</v>
      </c>
      <c r="B204" s="21" t="s">
        <v>154</v>
      </c>
      <c r="C204" s="31" t="s">
        <v>261</v>
      </c>
      <c r="D204" s="31" t="s">
        <v>265</v>
      </c>
      <c r="E204" s="31" t="s">
        <v>269</v>
      </c>
      <c r="F204" s="44">
        <f>33800+200</f>
        <v>34000</v>
      </c>
      <c r="G204" s="44">
        <f>F204</f>
        <v>34000</v>
      </c>
    </row>
    <row r="205" spans="1:11" s="14" customFormat="1" ht="31.5">
      <c r="A205" s="19" t="s">
        <v>179</v>
      </c>
      <c r="B205" s="18" t="s">
        <v>155</v>
      </c>
      <c r="C205" s="30"/>
      <c r="D205" s="30"/>
      <c r="E205" s="30"/>
      <c r="F205" s="43">
        <f>F206</f>
        <v>26158500</v>
      </c>
      <c r="G205" s="43">
        <f>G206</f>
        <v>66800</v>
      </c>
      <c r="K205" s="78"/>
    </row>
    <row r="206" spans="1:11" s="14" customFormat="1" ht="31.5">
      <c r="A206" s="19" t="s">
        <v>176</v>
      </c>
      <c r="B206" s="18" t="s">
        <v>156</v>
      </c>
      <c r="C206" s="30"/>
      <c r="D206" s="30"/>
      <c r="E206" s="30"/>
      <c r="F206" s="43">
        <f>F207+F211+F216+F220+F224</f>
        <v>26158500</v>
      </c>
      <c r="G206" s="43">
        <f>G207+G211+G216+G220+G224</f>
        <v>66800</v>
      </c>
      <c r="K206" s="78"/>
    </row>
    <row r="207" spans="1:7" ht="63">
      <c r="A207" s="20" t="s">
        <v>14</v>
      </c>
      <c r="B207" s="21" t="s">
        <v>157</v>
      </c>
      <c r="C207" s="31"/>
      <c r="D207" s="31"/>
      <c r="E207" s="31"/>
      <c r="F207" s="44">
        <f>F208</f>
        <v>25389700</v>
      </c>
      <c r="G207" s="44">
        <v>0</v>
      </c>
    </row>
    <row r="208" spans="1:7" ht="31.5">
      <c r="A208" s="20" t="s">
        <v>251</v>
      </c>
      <c r="B208" s="21" t="s">
        <v>157</v>
      </c>
      <c r="C208" s="31" t="s">
        <v>252</v>
      </c>
      <c r="D208" s="31"/>
      <c r="E208" s="31"/>
      <c r="F208" s="44">
        <f>F209</f>
        <v>25389700</v>
      </c>
      <c r="G208" s="44">
        <f>G209</f>
        <v>0</v>
      </c>
    </row>
    <row r="209" spans="1:7" ht="15.75">
      <c r="A209" s="20" t="s">
        <v>41</v>
      </c>
      <c r="B209" s="21" t="s">
        <v>157</v>
      </c>
      <c r="C209" s="31" t="s">
        <v>252</v>
      </c>
      <c r="D209" s="31" t="s">
        <v>42</v>
      </c>
      <c r="E209" s="31"/>
      <c r="F209" s="44">
        <f>F210</f>
        <v>25389700</v>
      </c>
      <c r="G209" s="44">
        <f>G210</f>
        <v>0</v>
      </c>
    </row>
    <row r="210" spans="1:7" ht="15.75">
      <c r="A210" s="20" t="s">
        <v>43</v>
      </c>
      <c r="B210" s="21" t="s">
        <v>157</v>
      </c>
      <c r="C210" s="31" t="s">
        <v>252</v>
      </c>
      <c r="D210" s="31" t="s">
        <v>42</v>
      </c>
      <c r="E210" s="31" t="s">
        <v>257</v>
      </c>
      <c r="F210" s="44">
        <f>26269700-380000-2500000+2000000</f>
        <v>25389700</v>
      </c>
      <c r="G210" s="44">
        <v>0</v>
      </c>
    </row>
    <row r="211" spans="1:7" ht="31.5">
      <c r="A211" s="20" t="s">
        <v>159</v>
      </c>
      <c r="B211" s="21" t="s">
        <v>158</v>
      </c>
      <c r="C211" s="31"/>
      <c r="D211" s="31"/>
      <c r="E211" s="31"/>
      <c r="F211" s="44">
        <f>F212</f>
        <v>435000</v>
      </c>
      <c r="G211" s="44">
        <f>G212</f>
        <v>0</v>
      </c>
    </row>
    <row r="212" spans="1:7" ht="31.5">
      <c r="A212" s="20" t="s">
        <v>251</v>
      </c>
      <c r="B212" s="21" t="s">
        <v>158</v>
      </c>
      <c r="C212" s="31" t="s">
        <v>252</v>
      </c>
      <c r="D212" s="31"/>
      <c r="E212" s="31"/>
      <c r="F212" s="44">
        <f>F213</f>
        <v>435000</v>
      </c>
      <c r="G212" s="44">
        <f>G213</f>
        <v>0</v>
      </c>
    </row>
    <row r="213" spans="1:7" ht="15.75">
      <c r="A213" s="20" t="s">
        <v>41</v>
      </c>
      <c r="B213" s="21" t="s">
        <v>158</v>
      </c>
      <c r="C213" s="31" t="s">
        <v>252</v>
      </c>
      <c r="D213" s="31" t="s">
        <v>42</v>
      </c>
      <c r="E213" s="31"/>
      <c r="F213" s="44">
        <f>F214+F215</f>
        <v>435000</v>
      </c>
      <c r="G213" s="44">
        <f>G214+G215</f>
        <v>0</v>
      </c>
    </row>
    <row r="214" spans="1:7" ht="15.75">
      <c r="A214" s="20" t="s">
        <v>160</v>
      </c>
      <c r="B214" s="21" t="s">
        <v>158</v>
      </c>
      <c r="C214" s="31" t="s">
        <v>252</v>
      </c>
      <c r="D214" s="31" t="s">
        <v>42</v>
      </c>
      <c r="E214" s="31" t="s">
        <v>268</v>
      </c>
      <c r="F214" s="44">
        <f>300000+13000-40000</f>
        <v>273000</v>
      </c>
      <c r="G214" s="44">
        <v>0</v>
      </c>
    </row>
    <row r="215" spans="1:7" ht="15.75">
      <c r="A215" s="20" t="s">
        <v>43</v>
      </c>
      <c r="B215" s="21" t="s">
        <v>158</v>
      </c>
      <c r="C215" s="31" t="s">
        <v>252</v>
      </c>
      <c r="D215" s="31" t="s">
        <v>42</v>
      </c>
      <c r="E215" s="31" t="s">
        <v>257</v>
      </c>
      <c r="F215" s="44">
        <f>180000-18000</f>
        <v>162000</v>
      </c>
      <c r="G215" s="44">
        <v>0</v>
      </c>
    </row>
    <row r="216" spans="1:7" ht="31.5">
      <c r="A216" s="20" t="s">
        <v>162</v>
      </c>
      <c r="B216" s="21" t="s">
        <v>161</v>
      </c>
      <c r="C216" s="31"/>
      <c r="D216" s="31"/>
      <c r="E216" s="31"/>
      <c r="F216" s="44">
        <f>F217</f>
        <v>267000</v>
      </c>
      <c r="G216" s="44">
        <v>0</v>
      </c>
    </row>
    <row r="217" spans="1:7" ht="31.5">
      <c r="A217" s="20" t="s">
        <v>251</v>
      </c>
      <c r="B217" s="21" t="s">
        <v>161</v>
      </c>
      <c r="C217" s="31" t="s">
        <v>252</v>
      </c>
      <c r="D217" s="31"/>
      <c r="E217" s="31"/>
      <c r="F217" s="44">
        <f>F218</f>
        <v>267000</v>
      </c>
      <c r="G217" s="44">
        <f>G218</f>
        <v>0</v>
      </c>
    </row>
    <row r="218" spans="1:7" ht="15.75">
      <c r="A218" s="20" t="s">
        <v>41</v>
      </c>
      <c r="B218" s="21" t="s">
        <v>161</v>
      </c>
      <c r="C218" s="31" t="s">
        <v>252</v>
      </c>
      <c r="D218" s="31" t="s">
        <v>42</v>
      </c>
      <c r="E218" s="31"/>
      <c r="F218" s="44">
        <f>F219</f>
        <v>267000</v>
      </c>
      <c r="G218" s="44">
        <f>G219</f>
        <v>0</v>
      </c>
    </row>
    <row r="219" spans="1:7" ht="15.75">
      <c r="A219" s="20" t="s">
        <v>160</v>
      </c>
      <c r="B219" s="21" t="s">
        <v>161</v>
      </c>
      <c r="C219" s="31" t="s">
        <v>252</v>
      </c>
      <c r="D219" s="31" t="s">
        <v>42</v>
      </c>
      <c r="E219" s="31" t="s">
        <v>268</v>
      </c>
      <c r="F219" s="44">
        <f>100000+60000-13000+18000+56850+45150</f>
        <v>267000</v>
      </c>
      <c r="G219" s="44">
        <v>0</v>
      </c>
    </row>
    <row r="220" spans="1:7" ht="105.75" customHeight="1">
      <c r="A220" s="20" t="s">
        <v>334</v>
      </c>
      <c r="B220" s="21" t="s">
        <v>163</v>
      </c>
      <c r="C220" s="31"/>
      <c r="D220" s="31"/>
      <c r="E220" s="31"/>
      <c r="F220" s="44">
        <f aca="true" t="shared" si="21" ref="F220:G222">F221</f>
        <v>4300</v>
      </c>
      <c r="G220" s="44">
        <f t="shared" si="21"/>
        <v>4300</v>
      </c>
    </row>
    <row r="221" spans="1:7" ht="31.5">
      <c r="A221" s="22" t="s">
        <v>260</v>
      </c>
      <c r="B221" s="21" t="s">
        <v>163</v>
      </c>
      <c r="C221" s="31" t="s">
        <v>261</v>
      </c>
      <c r="D221" s="31"/>
      <c r="E221" s="31"/>
      <c r="F221" s="44">
        <f t="shared" si="21"/>
        <v>4300</v>
      </c>
      <c r="G221" s="44">
        <f t="shared" si="21"/>
        <v>4300</v>
      </c>
    </row>
    <row r="222" spans="1:7" ht="15.75">
      <c r="A222" s="20" t="s">
        <v>53</v>
      </c>
      <c r="B222" s="21" t="s">
        <v>163</v>
      </c>
      <c r="C222" s="31" t="s">
        <v>261</v>
      </c>
      <c r="D222" s="31" t="s">
        <v>268</v>
      </c>
      <c r="E222" s="31"/>
      <c r="F222" s="44">
        <f t="shared" si="21"/>
        <v>4300</v>
      </c>
      <c r="G222" s="44">
        <f t="shared" si="21"/>
        <v>4300</v>
      </c>
    </row>
    <row r="223" spans="1:7" ht="15.75">
      <c r="A223" s="20" t="s">
        <v>54</v>
      </c>
      <c r="B223" s="21" t="s">
        <v>163</v>
      </c>
      <c r="C223" s="31" t="s">
        <v>261</v>
      </c>
      <c r="D223" s="31" t="s">
        <v>268</v>
      </c>
      <c r="E223" s="31" t="s">
        <v>55</v>
      </c>
      <c r="F223" s="44">
        <v>4300</v>
      </c>
      <c r="G223" s="44">
        <v>4300</v>
      </c>
    </row>
    <row r="224" spans="1:11" s="74" customFormat="1" ht="48.75" customHeight="1">
      <c r="A224" s="20" t="s">
        <v>340</v>
      </c>
      <c r="B224" s="23" t="s">
        <v>339</v>
      </c>
      <c r="C224" s="31"/>
      <c r="D224" s="31"/>
      <c r="E224" s="31"/>
      <c r="F224" s="44">
        <f aca="true" t="shared" si="22" ref="F224:G226">F225</f>
        <v>62500</v>
      </c>
      <c r="G224" s="44">
        <f t="shared" si="22"/>
        <v>62500</v>
      </c>
      <c r="K224" s="77"/>
    </row>
    <row r="225" spans="1:11" s="74" customFormat="1" ht="31.5">
      <c r="A225" s="20" t="s">
        <v>251</v>
      </c>
      <c r="B225" s="23" t="s">
        <v>339</v>
      </c>
      <c r="C225" s="32" t="s">
        <v>252</v>
      </c>
      <c r="D225" s="31"/>
      <c r="E225" s="31"/>
      <c r="F225" s="44">
        <f t="shared" si="22"/>
        <v>62500</v>
      </c>
      <c r="G225" s="44">
        <f t="shared" si="22"/>
        <v>62500</v>
      </c>
      <c r="K225" s="77"/>
    </row>
    <row r="226" spans="1:11" s="74" customFormat="1" ht="15.75">
      <c r="A226" s="20" t="s">
        <v>41</v>
      </c>
      <c r="B226" s="23" t="s">
        <v>339</v>
      </c>
      <c r="C226" s="32" t="s">
        <v>252</v>
      </c>
      <c r="D226" s="32" t="s">
        <v>42</v>
      </c>
      <c r="E226" s="31"/>
      <c r="F226" s="44">
        <f t="shared" si="22"/>
        <v>62500</v>
      </c>
      <c r="G226" s="44">
        <f t="shared" si="22"/>
        <v>62500</v>
      </c>
      <c r="K226" s="77"/>
    </row>
    <row r="227" spans="1:11" s="74" customFormat="1" ht="15.75">
      <c r="A227" s="20" t="s">
        <v>43</v>
      </c>
      <c r="B227" s="23" t="s">
        <v>339</v>
      </c>
      <c r="C227" s="32" t="s">
        <v>252</v>
      </c>
      <c r="D227" s="32" t="s">
        <v>42</v>
      </c>
      <c r="E227" s="32" t="s">
        <v>257</v>
      </c>
      <c r="F227" s="44">
        <v>62500</v>
      </c>
      <c r="G227" s="44">
        <v>62500</v>
      </c>
      <c r="K227" s="77"/>
    </row>
    <row r="228" spans="1:11" s="11" customFormat="1" ht="31.5">
      <c r="A228" s="19" t="s">
        <v>175</v>
      </c>
      <c r="B228" s="18" t="s">
        <v>164</v>
      </c>
      <c r="C228" s="30"/>
      <c r="D228" s="30"/>
      <c r="E228" s="30"/>
      <c r="F228" s="43">
        <f>F229</f>
        <v>18308478.75</v>
      </c>
      <c r="G228" s="43">
        <f>G229</f>
        <v>2274280</v>
      </c>
      <c r="K228" s="78"/>
    </row>
    <row r="229" spans="1:11" s="11" customFormat="1" ht="31.5">
      <c r="A229" s="19" t="s">
        <v>177</v>
      </c>
      <c r="B229" s="18" t="s">
        <v>174</v>
      </c>
      <c r="C229" s="30"/>
      <c r="D229" s="30"/>
      <c r="E229" s="30"/>
      <c r="F229" s="43">
        <f>F230+F236+F243+F248+F254+F258</f>
        <v>18308478.75</v>
      </c>
      <c r="G229" s="43">
        <f>G230+G236+G243+G248+G254+G258</f>
        <v>2274280</v>
      </c>
      <c r="K229" s="78"/>
    </row>
    <row r="230" spans="1:7" ht="63">
      <c r="A230" s="20" t="s">
        <v>14</v>
      </c>
      <c r="B230" s="21" t="s">
        <v>165</v>
      </c>
      <c r="C230" s="31"/>
      <c r="D230" s="31"/>
      <c r="E230" s="31"/>
      <c r="F230" s="44">
        <f>F231</f>
        <v>14864198.75</v>
      </c>
      <c r="G230" s="44">
        <v>0</v>
      </c>
    </row>
    <row r="231" spans="1:7" ht="31.5">
      <c r="A231" s="20" t="s">
        <v>251</v>
      </c>
      <c r="B231" s="21" t="s">
        <v>165</v>
      </c>
      <c r="C231" s="31" t="s">
        <v>252</v>
      </c>
      <c r="D231" s="31"/>
      <c r="E231" s="31"/>
      <c r="F231" s="44">
        <f>F232+F234</f>
        <v>14864198.75</v>
      </c>
      <c r="G231" s="44">
        <f>G232+G234</f>
        <v>0</v>
      </c>
    </row>
    <row r="232" spans="1:7" ht="15.75">
      <c r="A232" s="20" t="s">
        <v>253</v>
      </c>
      <c r="B232" s="21" t="s">
        <v>165</v>
      </c>
      <c r="C232" s="31" t="s">
        <v>252</v>
      </c>
      <c r="D232" s="31" t="s">
        <v>254</v>
      </c>
      <c r="E232" s="31"/>
      <c r="F232" s="44">
        <f>F233</f>
        <v>10090658.75</v>
      </c>
      <c r="G232" s="44">
        <f>G233</f>
        <v>0</v>
      </c>
    </row>
    <row r="233" spans="1:7" ht="15.75">
      <c r="A233" s="20" t="s">
        <v>0</v>
      </c>
      <c r="B233" s="21" t="s">
        <v>165</v>
      </c>
      <c r="C233" s="31" t="s">
        <v>252</v>
      </c>
      <c r="D233" s="31" t="s">
        <v>254</v>
      </c>
      <c r="E233" s="31" t="s">
        <v>257</v>
      </c>
      <c r="F233" s="44">
        <f>9020942+949400+40316.75+80000</f>
        <v>10090658.75</v>
      </c>
      <c r="G233" s="44">
        <v>0</v>
      </c>
    </row>
    <row r="234" spans="1:7" ht="15.75">
      <c r="A234" s="20" t="s">
        <v>166</v>
      </c>
      <c r="B234" s="21" t="s">
        <v>165</v>
      </c>
      <c r="C234" s="31" t="s">
        <v>252</v>
      </c>
      <c r="D234" s="31" t="s">
        <v>39</v>
      </c>
      <c r="E234" s="31"/>
      <c r="F234" s="44">
        <f>F235</f>
        <v>4773540</v>
      </c>
      <c r="G234" s="44">
        <f>G235</f>
        <v>0</v>
      </c>
    </row>
    <row r="235" spans="1:7" ht="15.75">
      <c r="A235" s="22" t="s">
        <v>40</v>
      </c>
      <c r="B235" s="21" t="s">
        <v>165</v>
      </c>
      <c r="C235" s="31" t="s">
        <v>252</v>
      </c>
      <c r="D235" s="31" t="s">
        <v>39</v>
      </c>
      <c r="E235" s="31" t="s">
        <v>268</v>
      </c>
      <c r="F235" s="44">
        <f>4777240+1227600-700000+727600-1227600+432000-383300-80000</f>
        <v>4773540</v>
      </c>
      <c r="G235" s="44">
        <v>0</v>
      </c>
    </row>
    <row r="236" spans="1:7" ht="47.25">
      <c r="A236" s="20" t="s">
        <v>168</v>
      </c>
      <c r="B236" s="21" t="s">
        <v>167</v>
      </c>
      <c r="C236" s="31"/>
      <c r="D236" s="31"/>
      <c r="E236" s="31"/>
      <c r="F236" s="44">
        <f>F237+F240</f>
        <v>888000</v>
      </c>
      <c r="G236" s="44">
        <f>G237+G240</f>
        <v>0</v>
      </c>
    </row>
    <row r="237" spans="1:7" ht="31.5">
      <c r="A237" s="22" t="s">
        <v>260</v>
      </c>
      <c r="B237" s="21" t="s">
        <v>167</v>
      </c>
      <c r="C237" s="31" t="s">
        <v>261</v>
      </c>
      <c r="D237" s="31"/>
      <c r="E237" s="31"/>
      <c r="F237" s="44">
        <f>F238</f>
        <v>540000</v>
      </c>
      <c r="G237" s="44">
        <f>G238</f>
        <v>0</v>
      </c>
    </row>
    <row r="238" spans="1:7" ht="15.75">
      <c r="A238" s="20" t="s">
        <v>53</v>
      </c>
      <c r="B238" s="21" t="s">
        <v>167</v>
      </c>
      <c r="C238" s="31" t="s">
        <v>261</v>
      </c>
      <c r="D238" s="31" t="s">
        <v>268</v>
      </c>
      <c r="E238" s="31"/>
      <c r="F238" s="44">
        <f>F239</f>
        <v>540000</v>
      </c>
      <c r="G238" s="44">
        <f>G239</f>
        <v>0</v>
      </c>
    </row>
    <row r="239" spans="1:7" ht="15.75">
      <c r="A239" s="20" t="s">
        <v>54</v>
      </c>
      <c r="B239" s="21" t="s">
        <v>167</v>
      </c>
      <c r="C239" s="31" t="s">
        <v>261</v>
      </c>
      <c r="D239" s="31" t="s">
        <v>268</v>
      </c>
      <c r="E239" s="31" t="s">
        <v>55</v>
      </c>
      <c r="F239" s="44">
        <f>440000+100000-40000+40000</f>
        <v>540000</v>
      </c>
      <c r="G239" s="44">
        <v>0</v>
      </c>
    </row>
    <row r="240" spans="1:7" ht="31.5">
      <c r="A240" s="20" t="s">
        <v>251</v>
      </c>
      <c r="B240" s="21" t="s">
        <v>167</v>
      </c>
      <c r="C240" s="31" t="s">
        <v>252</v>
      </c>
      <c r="D240" s="31"/>
      <c r="E240" s="31"/>
      <c r="F240" s="44">
        <f>F241</f>
        <v>348000</v>
      </c>
      <c r="G240" s="44">
        <f>G241</f>
        <v>0</v>
      </c>
    </row>
    <row r="241" spans="1:7" ht="15.75">
      <c r="A241" s="20" t="s">
        <v>166</v>
      </c>
      <c r="B241" s="21" t="s">
        <v>167</v>
      </c>
      <c r="C241" s="31" t="s">
        <v>252</v>
      </c>
      <c r="D241" s="31" t="s">
        <v>39</v>
      </c>
      <c r="E241" s="31"/>
      <c r="F241" s="44">
        <f>F242</f>
        <v>348000</v>
      </c>
      <c r="G241" s="44">
        <f>G242</f>
        <v>0</v>
      </c>
    </row>
    <row r="242" spans="1:7" ht="15.75">
      <c r="A242" s="22" t="s">
        <v>40</v>
      </c>
      <c r="B242" s="21" t="s">
        <v>167</v>
      </c>
      <c r="C242" s="31" t="s">
        <v>252</v>
      </c>
      <c r="D242" s="31" t="s">
        <v>39</v>
      </c>
      <c r="E242" s="31" t="s">
        <v>268</v>
      </c>
      <c r="F242" s="44">
        <v>348000</v>
      </c>
      <c r="G242" s="44">
        <v>0</v>
      </c>
    </row>
    <row r="243" spans="1:7" ht="31.5">
      <c r="A243" s="20" t="s">
        <v>170</v>
      </c>
      <c r="B243" s="21" t="s">
        <v>169</v>
      </c>
      <c r="C243" s="31"/>
      <c r="D243" s="31"/>
      <c r="E243" s="31"/>
      <c r="F243" s="44">
        <f>F244</f>
        <v>136000</v>
      </c>
      <c r="G243" s="44">
        <v>0</v>
      </c>
    </row>
    <row r="244" spans="1:7" ht="31.5">
      <c r="A244" s="20" t="s">
        <v>251</v>
      </c>
      <c r="B244" s="21" t="s">
        <v>169</v>
      </c>
      <c r="C244" s="31" t="s">
        <v>252</v>
      </c>
      <c r="D244" s="31"/>
      <c r="E244" s="31"/>
      <c r="F244" s="44">
        <f>F245</f>
        <v>136000</v>
      </c>
      <c r="G244" s="44">
        <f>G245</f>
        <v>0</v>
      </c>
    </row>
    <row r="245" spans="1:7" ht="15.75">
      <c r="A245" s="20" t="s">
        <v>166</v>
      </c>
      <c r="B245" s="21" t="s">
        <v>169</v>
      </c>
      <c r="C245" s="31" t="s">
        <v>252</v>
      </c>
      <c r="D245" s="31" t="s">
        <v>39</v>
      </c>
      <c r="E245" s="31"/>
      <c r="F245" s="44">
        <f>F246+F247</f>
        <v>136000</v>
      </c>
      <c r="G245" s="44">
        <f>G246</f>
        <v>0</v>
      </c>
    </row>
    <row r="246" spans="1:7" ht="15.75">
      <c r="A246" s="20" t="s">
        <v>40</v>
      </c>
      <c r="B246" s="21" t="s">
        <v>169</v>
      </c>
      <c r="C246" s="31" t="s">
        <v>252</v>
      </c>
      <c r="D246" s="31" t="s">
        <v>39</v>
      </c>
      <c r="E246" s="31" t="s">
        <v>268</v>
      </c>
      <c r="F246" s="44">
        <v>12000</v>
      </c>
      <c r="G246" s="44">
        <f>G247</f>
        <v>0</v>
      </c>
    </row>
    <row r="247" spans="1:7" ht="15.75">
      <c r="A247" s="22" t="s">
        <v>171</v>
      </c>
      <c r="B247" s="21" t="s">
        <v>169</v>
      </c>
      <c r="C247" s="31" t="s">
        <v>252</v>
      </c>
      <c r="D247" s="31" t="s">
        <v>39</v>
      </c>
      <c r="E247" s="31" t="s">
        <v>269</v>
      </c>
      <c r="F247" s="44">
        <f>200000-76000</f>
        <v>124000</v>
      </c>
      <c r="G247" s="44">
        <v>0</v>
      </c>
    </row>
    <row r="248" spans="1:7" ht="31.5">
      <c r="A248" s="20" t="s">
        <v>162</v>
      </c>
      <c r="B248" s="21" t="s">
        <v>301</v>
      </c>
      <c r="C248" s="31"/>
      <c r="D248" s="31"/>
      <c r="E248" s="31"/>
      <c r="F248" s="44">
        <f>F249</f>
        <v>146000</v>
      </c>
      <c r="G248" s="44">
        <f>G249</f>
        <v>0</v>
      </c>
    </row>
    <row r="249" spans="1:7" ht="31.5">
      <c r="A249" s="20" t="s">
        <v>251</v>
      </c>
      <c r="B249" s="21" t="s">
        <v>301</v>
      </c>
      <c r="C249" s="31" t="s">
        <v>252</v>
      </c>
      <c r="D249" s="31"/>
      <c r="E249" s="31"/>
      <c r="F249" s="44">
        <f>F252+F250</f>
        <v>146000</v>
      </c>
      <c r="G249" s="44">
        <f>G252+G250</f>
        <v>0</v>
      </c>
    </row>
    <row r="250" spans="1:11" s="74" customFormat="1" ht="15.75">
      <c r="A250" s="22" t="s">
        <v>253</v>
      </c>
      <c r="B250" s="23" t="s">
        <v>301</v>
      </c>
      <c r="C250" s="32" t="s">
        <v>252</v>
      </c>
      <c r="D250" s="32" t="s">
        <v>254</v>
      </c>
      <c r="E250" s="31"/>
      <c r="F250" s="44">
        <f>F251</f>
        <v>70000</v>
      </c>
      <c r="G250" s="44">
        <f>G251</f>
        <v>0</v>
      </c>
      <c r="K250" s="77"/>
    </row>
    <row r="251" spans="1:11" s="74" customFormat="1" ht="15.75">
      <c r="A251" s="22" t="s">
        <v>0</v>
      </c>
      <c r="B251" s="23" t="s">
        <v>301</v>
      </c>
      <c r="C251" s="32" t="s">
        <v>252</v>
      </c>
      <c r="D251" s="32" t="s">
        <v>254</v>
      </c>
      <c r="E251" s="32" t="s">
        <v>257</v>
      </c>
      <c r="F251" s="44">
        <v>70000</v>
      </c>
      <c r="G251" s="44">
        <v>0</v>
      </c>
      <c r="K251" s="77"/>
    </row>
    <row r="252" spans="1:7" ht="15.75">
      <c r="A252" s="20" t="s">
        <v>166</v>
      </c>
      <c r="B252" s="21" t="s">
        <v>301</v>
      </c>
      <c r="C252" s="31" t="s">
        <v>252</v>
      </c>
      <c r="D252" s="31" t="s">
        <v>39</v>
      </c>
      <c r="E252" s="31"/>
      <c r="F252" s="44">
        <f>F253</f>
        <v>76000</v>
      </c>
      <c r="G252" s="44">
        <f>G253</f>
        <v>0</v>
      </c>
    </row>
    <row r="253" spans="1:11" s="74" customFormat="1" ht="15.75">
      <c r="A253" s="22" t="s">
        <v>40</v>
      </c>
      <c r="B253" s="23" t="s">
        <v>301</v>
      </c>
      <c r="C253" s="31" t="s">
        <v>252</v>
      </c>
      <c r="D253" s="31" t="s">
        <v>39</v>
      </c>
      <c r="E253" s="32" t="s">
        <v>268</v>
      </c>
      <c r="F253" s="44">
        <f>100000-100000+76000</f>
        <v>76000</v>
      </c>
      <c r="G253" s="44">
        <v>0</v>
      </c>
      <c r="K253" s="77"/>
    </row>
    <row r="254" spans="1:7" ht="46.5" customHeight="1">
      <c r="A254" s="20" t="s">
        <v>330</v>
      </c>
      <c r="B254" s="21" t="s">
        <v>172</v>
      </c>
      <c r="C254" s="31"/>
      <c r="D254" s="31"/>
      <c r="E254" s="31"/>
      <c r="F254" s="44">
        <f aca="true" t="shared" si="23" ref="F254:G256">F255</f>
        <v>1980</v>
      </c>
      <c r="G254" s="44">
        <f t="shared" si="23"/>
        <v>1980</v>
      </c>
    </row>
    <row r="255" spans="1:7" ht="31.5">
      <c r="A255" s="20" t="s">
        <v>251</v>
      </c>
      <c r="B255" s="21" t="s">
        <v>172</v>
      </c>
      <c r="C255" s="31" t="s">
        <v>252</v>
      </c>
      <c r="D255" s="31"/>
      <c r="E255" s="31"/>
      <c r="F255" s="44">
        <f t="shared" si="23"/>
        <v>1980</v>
      </c>
      <c r="G255" s="44">
        <f t="shared" si="23"/>
        <v>1980</v>
      </c>
    </row>
    <row r="256" spans="1:7" ht="15.75">
      <c r="A256" s="20" t="s">
        <v>166</v>
      </c>
      <c r="B256" s="21" t="s">
        <v>172</v>
      </c>
      <c r="C256" s="31" t="s">
        <v>252</v>
      </c>
      <c r="D256" s="31" t="s">
        <v>39</v>
      </c>
      <c r="E256" s="31"/>
      <c r="F256" s="44">
        <f t="shared" si="23"/>
        <v>1980</v>
      </c>
      <c r="G256" s="44">
        <f t="shared" si="23"/>
        <v>1980</v>
      </c>
    </row>
    <row r="257" spans="1:7" ht="15.75">
      <c r="A257" s="20" t="s">
        <v>40</v>
      </c>
      <c r="B257" s="31" t="s">
        <v>172</v>
      </c>
      <c r="C257" s="31" t="s">
        <v>252</v>
      </c>
      <c r="D257" s="31" t="s">
        <v>39</v>
      </c>
      <c r="E257" s="31" t="s">
        <v>268</v>
      </c>
      <c r="F257" s="44">
        <f>2200-220</f>
        <v>1980</v>
      </c>
      <c r="G257" s="44">
        <f>F257</f>
        <v>1980</v>
      </c>
    </row>
    <row r="258" spans="1:7" ht="78.75">
      <c r="A258" s="20" t="s">
        <v>44</v>
      </c>
      <c r="B258" s="21" t="s">
        <v>173</v>
      </c>
      <c r="C258" s="31"/>
      <c r="D258" s="31"/>
      <c r="E258" s="31"/>
      <c r="F258" s="44">
        <f>F259</f>
        <v>2272300</v>
      </c>
      <c r="G258" s="44">
        <f>G259</f>
        <v>2272300</v>
      </c>
    </row>
    <row r="259" spans="1:7" ht="31.5">
      <c r="A259" s="20" t="s">
        <v>251</v>
      </c>
      <c r="B259" s="21" t="s">
        <v>173</v>
      </c>
      <c r="C259" s="31" t="s">
        <v>252</v>
      </c>
      <c r="D259" s="31"/>
      <c r="E259" s="31"/>
      <c r="F259" s="44">
        <f>F262+F260</f>
        <v>2272300</v>
      </c>
      <c r="G259" s="44">
        <f>G262+G260</f>
        <v>2272300</v>
      </c>
    </row>
    <row r="260" spans="1:7" ht="15.75">
      <c r="A260" s="22" t="s">
        <v>253</v>
      </c>
      <c r="B260" s="21" t="s">
        <v>173</v>
      </c>
      <c r="C260" s="31" t="s">
        <v>252</v>
      </c>
      <c r="D260" s="31" t="s">
        <v>254</v>
      </c>
      <c r="E260" s="31"/>
      <c r="F260" s="44">
        <f>F261</f>
        <v>1552700</v>
      </c>
      <c r="G260" s="44">
        <f>G261</f>
        <v>1552700</v>
      </c>
    </row>
    <row r="261" spans="1:7" ht="15.75">
      <c r="A261" s="22" t="s">
        <v>0</v>
      </c>
      <c r="B261" s="21" t="s">
        <v>173</v>
      </c>
      <c r="C261" s="31" t="s">
        <v>252</v>
      </c>
      <c r="D261" s="31" t="s">
        <v>254</v>
      </c>
      <c r="E261" s="31" t="s">
        <v>257</v>
      </c>
      <c r="F261" s="44">
        <v>1552700</v>
      </c>
      <c r="G261" s="44">
        <v>1552700</v>
      </c>
    </row>
    <row r="262" spans="1:7" ht="15.75">
      <c r="A262" s="20" t="s">
        <v>166</v>
      </c>
      <c r="B262" s="21" t="s">
        <v>173</v>
      </c>
      <c r="C262" s="31" t="s">
        <v>252</v>
      </c>
      <c r="D262" s="31" t="s">
        <v>39</v>
      </c>
      <c r="E262" s="31"/>
      <c r="F262" s="44">
        <f>F263</f>
        <v>719600</v>
      </c>
      <c r="G262" s="44">
        <f>G263</f>
        <v>719600</v>
      </c>
    </row>
    <row r="263" spans="1:7" ht="15.75">
      <c r="A263" s="20" t="s">
        <v>40</v>
      </c>
      <c r="B263" s="21" t="s">
        <v>173</v>
      </c>
      <c r="C263" s="31" t="s">
        <v>252</v>
      </c>
      <c r="D263" s="31" t="s">
        <v>39</v>
      </c>
      <c r="E263" s="31" t="s">
        <v>268</v>
      </c>
      <c r="F263" s="44">
        <f>804600-85000</f>
        <v>719600</v>
      </c>
      <c r="G263" s="44">
        <f>F263</f>
        <v>719600</v>
      </c>
    </row>
    <row r="264" spans="1:11" s="11" customFormat="1" ht="47.25">
      <c r="A264" s="19" t="s">
        <v>178</v>
      </c>
      <c r="B264" s="18" t="s">
        <v>182</v>
      </c>
      <c r="C264" s="30"/>
      <c r="D264" s="30"/>
      <c r="E264" s="30"/>
      <c r="F264" s="43">
        <f>F265+F281+F309+F315</f>
        <v>73784165.94</v>
      </c>
      <c r="G264" s="43">
        <f>G265+G281+G309+G315</f>
        <v>78517.44</v>
      </c>
      <c r="K264" s="78"/>
    </row>
    <row r="265" spans="1:11" s="11" customFormat="1" ht="31.5">
      <c r="A265" s="19" t="s">
        <v>181</v>
      </c>
      <c r="B265" s="18" t="s">
        <v>183</v>
      </c>
      <c r="C265" s="30"/>
      <c r="D265" s="30"/>
      <c r="E265" s="30"/>
      <c r="F265" s="43">
        <f>F266+F270+F277</f>
        <v>20074100</v>
      </c>
      <c r="G265" s="43">
        <f>G266+G270+G277</f>
        <v>0</v>
      </c>
      <c r="K265" s="78"/>
    </row>
    <row r="266" spans="1:11" s="11" customFormat="1" ht="63">
      <c r="A266" s="20" t="s">
        <v>199</v>
      </c>
      <c r="B266" s="23" t="s">
        <v>355</v>
      </c>
      <c r="C266" s="30"/>
      <c r="D266" s="30"/>
      <c r="E266" s="30"/>
      <c r="F266" s="56">
        <f aca="true" t="shared" si="24" ref="F266:G268">F267</f>
        <v>3000000</v>
      </c>
      <c r="G266" s="56">
        <f t="shared" si="24"/>
        <v>0</v>
      </c>
      <c r="K266" s="78"/>
    </row>
    <row r="267" spans="1:11" s="11" customFormat="1" ht="31.5">
      <c r="A267" s="20" t="s">
        <v>251</v>
      </c>
      <c r="B267" s="23" t="s">
        <v>355</v>
      </c>
      <c r="C267" s="31" t="s">
        <v>252</v>
      </c>
      <c r="D267" s="30"/>
      <c r="E267" s="30"/>
      <c r="F267" s="56">
        <f t="shared" si="24"/>
        <v>3000000</v>
      </c>
      <c r="G267" s="56">
        <f t="shared" si="24"/>
        <v>0</v>
      </c>
      <c r="K267" s="78"/>
    </row>
    <row r="268" spans="1:11" s="11" customFormat="1" ht="15.75">
      <c r="A268" s="20" t="s">
        <v>59</v>
      </c>
      <c r="B268" s="23" t="s">
        <v>355</v>
      </c>
      <c r="C268" s="31" t="s">
        <v>252</v>
      </c>
      <c r="D268" s="31" t="s">
        <v>275</v>
      </c>
      <c r="E268" s="30"/>
      <c r="F268" s="56">
        <f t="shared" si="24"/>
        <v>3000000</v>
      </c>
      <c r="G268" s="56">
        <f t="shared" si="24"/>
        <v>0</v>
      </c>
      <c r="K268" s="78"/>
    </row>
    <row r="269" spans="1:11" s="11" customFormat="1" ht="31.5">
      <c r="A269" s="20" t="s">
        <v>60</v>
      </c>
      <c r="B269" s="23" t="s">
        <v>355</v>
      </c>
      <c r="C269" s="31" t="s">
        <v>252</v>
      </c>
      <c r="D269" s="31" t="s">
        <v>275</v>
      </c>
      <c r="E269" s="32" t="s">
        <v>275</v>
      </c>
      <c r="F269" s="56">
        <f>3000000</f>
        <v>3000000</v>
      </c>
      <c r="G269" s="56">
        <f>0</f>
        <v>0</v>
      </c>
      <c r="K269" s="78"/>
    </row>
    <row r="270" spans="1:7" ht="47.25">
      <c r="A270" s="22" t="s">
        <v>185</v>
      </c>
      <c r="B270" s="21" t="s">
        <v>184</v>
      </c>
      <c r="C270" s="31"/>
      <c r="D270" s="31"/>
      <c r="E270" s="31"/>
      <c r="F270" s="44">
        <f>F271+F274</f>
        <v>16339100</v>
      </c>
      <c r="G270" s="44">
        <f>G271+G274</f>
        <v>0</v>
      </c>
    </row>
    <row r="271" spans="1:11" s="74" customFormat="1" ht="31.5">
      <c r="A271" s="20" t="s">
        <v>251</v>
      </c>
      <c r="B271" s="23" t="s">
        <v>184</v>
      </c>
      <c r="C271" s="32" t="s">
        <v>252</v>
      </c>
      <c r="D271" s="31"/>
      <c r="E271" s="31"/>
      <c r="F271" s="44">
        <f>F272</f>
        <v>2739100</v>
      </c>
      <c r="G271" s="44"/>
      <c r="K271" s="77"/>
    </row>
    <row r="272" spans="1:7" ht="15.75">
      <c r="A272" s="20" t="s">
        <v>59</v>
      </c>
      <c r="B272" s="21" t="s">
        <v>184</v>
      </c>
      <c r="C272" s="31" t="s">
        <v>252</v>
      </c>
      <c r="D272" s="32" t="s">
        <v>275</v>
      </c>
      <c r="E272" s="31"/>
      <c r="F272" s="44">
        <f>F273</f>
        <v>2739100</v>
      </c>
      <c r="G272" s="44">
        <f>G273</f>
        <v>0</v>
      </c>
    </row>
    <row r="273" spans="1:7" ht="15.75">
      <c r="A273" s="22" t="s">
        <v>61</v>
      </c>
      <c r="B273" s="21" t="s">
        <v>184</v>
      </c>
      <c r="C273" s="31" t="s">
        <v>252</v>
      </c>
      <c r="D273" s="31" t="s">
        <v>275</v>
      </c>
      <c r="E273" s="32" t="s">
        <v>257</v>
      </c>
      <c r="F273" s="44">
        <f>3298100-140000-419000</f>
        <v>2739100</v>
      </c>
      <c r="G273" s="44">
        <v>0</v>
      </c>
    </row>
    <row r="274" spans="1:11" s="74" customFormat="1" ht="15.75">
      <c r="A274" s="20" t="s">
        <v>273</v>
      </c>
      <c r="B274" s="23" t="s">
        <v>184</v>
      </c>
      <c r="C274" s="32" t="s">
        <v>274</v>
      </c>
      <c r="D274" s="31"/>
      <c r="E274" s="31"/>
      <c r="F274" s="44">
        <f>F275</f>
        <v>13600000</v>
      </c>
      <c r="G274" s="44">
        <f>G275</f>
        <v>0</v>
      </c>
      <c r="K274" s="77"/>
    </row>
    <row r="275" spans="1:11" s="74" customFormat="1" ht="15.75">
      <c r="A275" s="20" t="s">
        <v>59</v>
      </c>
      <c r="B275" s="21" t="s">
        <v>184</v>
      </c>
      <c r="C275" s="32" t="s">
        <v>274</v>
      </c>
      <c r="D275" s="32" t="s">
        <v>275</v>
      </c>
      <c r="E275" s="31"/>
      <c r="F275" s="44">
        <f>F276</f>
        <v>13600000</v>
      </c>
      <c r="G275" s="44">
        <f>G276</f>
        <v>0</v>
      </c>
      <c r="K275" s="77"/>
    </row>
    <row r="276" spans="1:11" s="74" customFormat="1" ht="15.75">
      <c r="A276" s="20" t="s">
        <v>63</v>
      </c>
      <c r="B276" s="21" t="s">
        <v>184</v>
      </c>
      <c r="C276" s="32" t="s">
        <v>274</v>
      </c>
      <c r="D276" s="31" t="s">
        <v>275</v>
      </c>
      <c r="E276" s="32" t="s">
        <v>268</v>
      </c>
      <c r="F276" s="44">
        <v>13600000</v>
      </c>
      <c r="G276" s="44">
        <v>0</v>
      </c>
      <c r="K276" s="77"/>
    </row>
    <row r="277" spans="1:11" s="74" customFormat="1" ht="31.5">
      <c r="A277" s="20" t="s">
        <v>162</v>
      </c>
      <c r="B277" s="23" t="s">
        <v>349</v>
      </c>
      <c r="C277" s="31"/>
      <c r="D277" s="31"/>
      <c r="E277" s="32"/>
      <c r="F277" s="44">
        <f>F278</f>
        <v>735000</v>
      </c>
      <c r="G277" s="44">
        <f>G278</f>
        <v>0</v>
      </c>
      <c r="K277" s="77"/>
    </row>
    <row r="278" spans="1:11" s="74" customFormat="1" ht="31.5">
      <c r="A278" s="20" t="s">
        <v>251</v>
      </c>
      <c r="B278" s="23" t="s">
        <v>349</v>
      </c>
      <c r="C278" s="32" t="s">
        <v>252</v>
      </c>
      <c r="D278" s="31"/>
      <c r="E278" s="32"/>
      <c r="F278" s="44">
        <f>F279</f>
        <v>735000</v>
      </c>
      <c r="G278" s="44">
        <f>G279</f>
        <v>0</v>
      </c>
      <c r="K278" s="77"/>
    </row>
    <row r="279" spans="1:11" s="74" customFormat="1" ht="15.75">
      <c r="A279" s="20" t="s">
        <v>59</v>
      </c>
      <c r="B279" s="23" t="s">
        <v>349</v>
      </c>
      <c r="C279" s="32" t="s">
        <v>252</v>
      </c>
      <c r="D279" s="32" t="s">
        <v>275</v>
      </c>
      <c r="E279" s="32"/>
      <c r="F279" s="44">
        <f>F280</f>
        <v>735000</v>
      </c>
      <c r="G279" s="44">
        <v>0</v>
      </c>
      <c r="K279" s="77"/>
    </row>
    <row r="280" spans="1:11" s="74" customFormat="1" ht="15.75">
      <c r="A280" s="20" t="s">
        <v>63</v>
      </c>
      <c r="B280" s="23" t="s">
        <v>349</v>
      </c>
      <c r="C280" s="32" t="s">
        <v>252</v>
      </c>
      <c r="D280" s="32" t="s">
        <v>275</v>
      </c>
      <c r="E280" s="32" t="s">
        <v>268</v>
      </c>
      <c r="F280" s="44">
        <v>735000</v>
      </c>
      <c r="G280" s="44">
        <v>0</v>
      </c>
      <c r="K280" s="77"/>
    </row>
    <row r="281" spans="1:11" s="11" customFormat="1" ht="31.5">
      <c r="A281" s="19" t="s">
        <v>187</v>
      </c>
      <c r="B281" s="18" t="s">
        <v>186</v>
      </c>
      <c r="C281" s="30"/>
      <c r="D281" s="30"/>
      <c r="E281" s="30"/>
      <c r="F281" s="43">
        <f>F282+F286+F290+F294+F301+F305</f>
        <v>5383517.44</v>
      </c>
      <c r="G281" s="43">
        <f>G282+G286+G290+G294+G301+G305</f>
        <v>78517.44</v>
      </c>
      <c r="K281" s="78"/>
    </row>
    <row r="282" spans="1:7" ht="47.25">
      <c r="A282" s="20" t="s">
        <v>168</v>
      </c>
      <c r="B282" s="21" t="s">
        <v>188</v>
      </c>
      <c r="C282" s="31"/>
      <c r="D282" s="31"/>
      <c r="E282" s="31"/>
      <c r="F282" s="44">
        <f>F283</f>
        <v>30000</v>
      </c>
      <c r="G282" s="44">
        <v>0</v>
      </c>
    </row>
    <row r="283" spans="1:7" ht="31.5">
      <c r="A283" s="20" t="s">
        <v>251</v>
      </c>
      <c r="B283" s="21" t="s">
        <v>188</v>
      </c>
      <c r="C283" s="32" t="s">
        <v>252</v>
      </c>
      <c r="D283" s="31"/>
      <c r="E283" s="31"/>
      <c r="F283" s="44">
        <f>F284</f>
        <v>30000</v>
      </c>
      <c r="G283" s="44">
        <f>G284</f>
        <v>0</v>
      </c>
    </row>
    <row r="284" spans="1:7" ht="15.75">
      <c r="A284" s="20" t="s">
        <v>59</v>
      </c>
      <c r="B284" s="21" t="s">
        <v>188</v>
      </c>
      <c r="C284" s="32" t="s">
        <v>252</v>
      </c>
      <c r="D284" s="31" t="s">
        <v>275</v>
      </c>
      <c r="E284" s="31"/>
      <c r="F284" s="44">
        <f>F285</f>
        <v>30000</v>
      </c>
      <c r="G284" s="44">
        <v>0</v>
      </c>
    </row>
    <row r="285" spans="1:7" ht="15.75">
      <c r="A285" s="20" t="s">
        <v>113</v>
      </c>
      <c r="B285" s="21" t="s">
        <v>188</v>
      </c>
      <c r="C285" s="32" t="s">
        <v>252</v>
      </c>
      <c r="D285" s="31" t="s">
        <v>275</v>
      </c>
      <c r="E285" s="31" t="s">
        <v>258</v>
      </c>
      <c r="F285" s="44">
        <v>30000</v>
      </c>
      <c r="G285" s="44">
        <v>0</v>
      </c>
    </row>
    <row r="286" spans="1:7" ht="54" customHeight="1">
      <c r="A286" s="20" t="s">
        <v>300</v>
      </c>
      <c r="B286" s="21" t="s">
        <v>299</v>
      </c>
      <c r="C286" s="32"/>
      <c r="D286" s="31"/>
      <c r="E286" s="31"/>
      <c r="F286" s="44">
        <f aca="true" t="shared" si="25" ref="F286:G288">F287</f>
        <v>534000</v>
      </c>
      <c r="G286" s="44">
        <f t="shared" si="25"/>
        <v>0</v>
      </c>
    </row>
    <row r="287" spans="1:7" ht="31.5">
      <c r="A287" s="20" t="s">
        <v>251</v>
      </c>
      <c r="B287" s="21" t="s">
        <v>299</v>
      </c>
      <c r="C287" s="32" t="s">
        <v>252</v>
      </c>
      <c r="D287" s="31"/>
      <c r="E287" s="31"/>
      <c r="F287" s="44">
        <f t="shared" si="25"/>
        <v>534000</v>
      </c>
      <c r="G287" s="44">
        <f t="shared" si="25"/>
        <v>0</v>
      </c>
    </row>
    <row r="288" spans="1:7" ht="15.75">
      <c r="A288" s="20" t="s">
        <v>59</v>
      </c>
      <c r="B288" s="21" t="s">
        <v>299</v>
      </c>
      <c r="C288" s="32" t="s">
        <v>252</v>
      </c>
      <c r="D288" s="31" t="s">
        <v>275</v>
      </c>
      <c r="E288" s="31"/>
      <c r="F288" s="44">
        <f t="shared" si="25"/>
        <v>534000</v>
      </c>
      <c r="G288" s="44">
        <f t="shared" si="25"/>
        <v>0</v>
      </c>
    </row>
    <row r="289" spans="1:7" ht="15.75">
      <c r="A289" s="20" t="s">
        <v>113</v>
      </c>
      <c r="B289" s="21" t="s">
        <v>299</v>
      </c>
      <c r="C289" s="32" t="s">
        <v>252</v>
      </c>
      <c r="D289" s="31" t="s">
        <v>275</v>
      </c>
      <c r="E289" s="31" t="s">
        <v>258</v>
      </c>
      <c r="F289" s="44">
        <f>534000</f>
        <v>534000</v>
      </c>
      <c r="G289" s="44">
        <v>0</v>
      </c>
    </row>
    <row r="290" spans="1:7" ht="47.25">
      <c r="A290" s="20" t="s">
        <v>185</v>
      </c>
      <c r="B290" s="21" t="s">
        <v>189</v>
      </c>
      <c r="C290" s="31"/>
      <c r="D290" s="31"/>
      <c r="E290" s="31"/>
      <c r="F290" s="44">
        <f>F291</f>
        <v>4471000</v>
      </c>
      <c r="G290" s="44">
        <v>0</v>
      </c>
    </row>
    <row r="291" spans="1:7" ht="31.5">
      <c r="A291" s="20" t="s">
        <v>251</v>
      </c>
      <c r="B291" s="21" t="s">
        <v>189</v>
      </c>
      <c r="C291" s="32" t="s">
        <v>252</v>
      </c>
      <c r="D291" s="31"/>
      <c r="E291" s="31"/>
      <c r="F291" s="44">
        <f>F292</f>
        <v>4471000</v>
      </c>
      <c r="G291" s="44">
        <f>G292</f>
        <v>0</v>
      </c>
    </row>
    <row r="292" spans="1:7" ht="15.75">
      <c r="A292" s="20" t="s">
        <v>59</v>
      </c>
      <c r="B292" s="21" t="s">
        <v>189</v>
      </c>
      <c r="C292" s="32" t="s">
        <v>252</v>
      </c>
      <c r="D292" s="31" t="s">
        <v>275</v>
      </c>
      <c r="E292" s="31"/>
      <c r="F292" s="44">
        <f>F293</f>
        <v>4471000</v>
      </c>
      <c r="G292" s="44">
        <v>0</v>
      </c>
    </row>
    <row r="293" spans="1:7" ht="15.75">
      <c r="A293" s="20" t="s">
        <v>113</v>
      </c>
      <c r="B293" s="21" t="s">
        <v>189</v>
      </c>
      <c r="C293" s="32" t="s">
        <v>252</v>
      </c>
      <c r="D293" s="31" t="s">
        <v>275</v>
      </c>
      <c r="E293" s="31" t="s">
        <v>258</v>
      </c>
      <c r="F293" s="44">
        <f>4550000+155000-534000+300000</f>
        <v>4471000</v>
      </c>
      <c r="G293" s="44">
        <v>0</v>
      </c>
    </row>
    <row r="294" spans="1:11" s="74" customFormat="1" ht="31.5">
      <c r="A294" s="22" t="s">
        <v>162</v>
      </c>
      <c r="B294" s="23" t="s">
        <v>341</v>
      </c>
      <c r="C294" s="32"/>
      <c r="D294" s="31"/>
      <c r="E294" s="31"/>
      <c r="F294" s="44">
        <f>F295+F298</f>
        <v>270000</v>
      </c>
      <c r="G294" s="44">
        <f aca="true" t="shared" si="26" ref="F294:G296">G295</f>
        <v>0</v>
      </c>
      <c r="K294" s="77"/>
    </row>
    <row r="295" spans="1:11" s="74" customFormat="1" ht="31.5">
      <c r="A295" s="22" t="s">
        <v>260</v>
      </c>
      <c r="B295" s="23" t="s">
        <v>341</v>
      </c>
      <c r="C295" s="32" t="s">
        <v>261</v>
      </c>
      <c r="D295" s="31"/>
      <c r="E295" s="31"/>
      <c r="F295" s="44">
        <f t="shared" si="26"/>
        <v>50000</v>
      </c>
      <c r="G295" s="44">
        <f t="shared" si="26"/>
        <v>0</v>
      </c>
      <c r="K295" s="77"/>
    </row>
    <row r="296" spans="1:11" s="74" customFormat="1" ht="15.75">
      <c r="A296" s="20" t="s">
        <v>59</v>
      </c>
      <c r="B296" s="23" t="s">
        <v>341</v>
      </c>
      <c r="C296" s="32" t="s">
        <v>261</v>
      </c>
      <c r="D296" s="32" t="s">
        <v>275</v>
      </c>
      <c r="E296" s="31"/>
      <c r="F296" s="44">
        <f t="shared" si="26"/>
        <v>50000</v>
      </c>
      <c r="G296" s="44">
        <f t="shared" si="26"/>
        <v>0</v>
      </c>
      <c r="K296" s="77"/>
    </row>
    <row r="297" spans="1:11" s="74" customFormat="1" ht="15.75">
      <c r="A297" s="20" t="s">
        <v>113</v>
      </c>
      <c r="B297" s="23" t="s">
        <v>341</v>
      </c>
      <c r="C297" s="32" t="s">
        <v>261</v>
      </c>
      <c r="D297" s="32" t="s">
        <v>275</v>
      </c>
      <c r="E297" s="32" t="s">
        <v>258</v>
      </c>
      <c r="F297" s="44">
        <f>50000</f>
        <v>50000</v>
      </c>
      <c r="G297" s="44">
        <v>0</v>
      </c>
      <c r="K297" s="77"/>
    </row>
    <row r="298" spans="1:11" s="74" customFormat="1" ht="31.5">
      <c r="A298" s="20" t="s">
        <v>251</v>
      </c>
      <c r="B298" s="23" t="s">
        <v>341</v>
      </c>
      <c r="C298" s="32" t="s">
        <v>252</v>
      </c>
      <c r="D298" s="32"/>
      <c r="E298" s="32"/>
      <c r="F298" s="44">
        <v>220000</v>
      </c>
      <c r="G298" s="44">
        <v>0</v>
      </c>
      <c r="K298" s="77"/>
    </row>
    <row r="299" spans="1:11" s="74" customFormat="1" ht="15.75">
      <c r="A299" s="20" t="s">
        <v>59</v>
      </c>
      <c r="B299" s="23" t="s">
        <v>341</v>
      </c>
      <c r="C299" s="32" t="s">
        <v>252</v>
      </c>
      <c r="D299" s="32" t="s">
        <v>275</v>
      </c>
      <c r="E299" s="32"/>
      <c r="F299" s="44">
        <v>220000</v>
      </c>
      <c r="G299" s="44">
        <v>0</v>
      </c>
      <c r="K299" s="77"/>
    </row>
    <row r="300" spans="1:11" s="74" customFormat="1" ht="15.75">
      <c r="A300" s="20" t="s">
        <v>113</v>
      </c>
      <c r="B300" s="23" t="s">
        <v>341</v>
      </c>
      <c r="C300" s="32" t="s">
        <v>252</v>
      </c>
      <c r="D300" s="32" t="s">
        <v>275</v>
      </c>
      <c r="E300" s="32" t="s">
        <v>258</v>
      </c>
      <c r="F300" s="44">
        <v>220000</v>
      </c>
      <c r="G300" s="44">
        <v>0</v>
      </c>
      <c r="K300" s="77"/>
    </row>
    <row r="301" spans="1:11" s="74" customFormat="1" ht="54" customHeight="1">
      <c r="A301" s="22" t="s">
        <v>346</v>
      </c>
      <c r="B301" s="23" t="s">
        <v>345</v>
      </c>
      <c r="C301" s="32"/>
      <c r="D301" s="31"/>
      <c r="E301" s="31"/>
      <c r="F301" s="44">
        <f aca="true" t="shared" si="27" ref="F301:G303">F302</f>
        <v>60897.44</v>
      </c>
      <c r="G301" s="44">
        <f t="shared" si="27"/>
        <v>60897.44</v>
      </c>
      <c r="K301" s="77"/>
    </row>
    <row r="302" spans="1:11" s="74" customFormat="1" ht="31.5">
      <c r="A302" s="22" t="s">
        <v>260</v>
      </c>
      <c r="B302" s="23" t="s">
        <v>345</v>
      </c>
      <c r="C302" s="32" t="s">
        <v>261</v>
      </c>
      <c r="D302" s="31"/>
      <c r="E302" s="31"/>
      <c r="F302" s="44">
        <f t="shared" si="27"/>
        <v>60897.44</v>
      </c>
      <c r="G302" s="44">
        <f t="shared" si="27"/>
        <v>60897.44</v>
      </c>
      <c r="K302" s="77"/>
    </row>
    <row r="303" spans="1:11" s="74" customFormat="1" ht="15.75">
      <c r="A303" s="20" t="s">
        <v>57</v>
      </c>
      <c r="B303" s="23" t="s">
        <v>345</v>
      </c>
      <c r="C303" s="32" t="s">
        <v>261</v>
      </c>
      <c r="D303" s="32" t="s">
        <v>269</v>
      </c>
      <c r="E303" s="31"/>
      <c r="F303" s="44">
        <f t="shared" si="27"/>
        <v>60897.44</v>
      </c>
      <c r="G303" s="44">
        <f t="shared" si="27"/>
        <v>60897.44</v>
      </c>
      <c r="K303" s="77"/>
    </row>
    <row r="304" spans="1:11" s="74" customFormat="1" ht="15.75">
      <c r="A304" s="22" t="s">
        <v>351</v>
      </c>
      <c r="B304" s="23" t="s">
        <v>345</v>
      </c>
      <c r="C304" s="32" t="s">
        <v>261</v>
      </c>
      <c r="D304" s="32" t="s">
        <v>269</v>
      </c>
      <c r="E304" s="32" t="s">
        <v>275</v>
      </c>
      <c r="F304" s="44">
        <f>36540+24357.44</f>
        <v>60897.44</v>
      </c>
      <c r="G304" s="44">
        <f>F304</f>
        <v>60897.44</v>
      </c>
      <c r="K304" s="77"/>
    </row>
    <row r="305" spans="1:11" s="74" customFormat="1" ht="63">
      <c r="A305" s="22" t="s">
        <v>348</v>
      </c>
      <c r="B305" s="23" t="s">
        <v>347</v>
      </c>
      <c r="C305" s="32"/>
      <c r="D305" s="32"/>
      <c r="E305" s="32"/>
      <c r="F305" s="44">
        <f aca="true" t="shared" si="28" ref="F305:G307">F306</f>
        <v>17620</v>
      </c>
      <c r="G305" s="44">
        <f t="shared" si="28"/>
        <v>17620</v>
      </c>
      <c r="K305" s="77"/>
    </row>
    <row r="306" spans="1:11" s="74" customFormat="1" ht="31.5">
      <c r="A306" s="22" t="s">
        <v>260</v>
      </c>
      <c r="B306" s="23" t="s">
        <v>347</v>
      </c>
      <c r="C306" s="32" t="s">
        <v>261</v>
      </c>
      <c r="D306" s="32"/>
      <c r="E306" s="32"/>
      <c r="F306" s="44">
        <f t="shared" si="28"/>
        <v>17620</v>
      </c>
      <c r="G306" s="44">
        <f t="shared" si="28"/>
        <v>17620</v>
      </c>
      <c r="K306" s="77"/>
    </row>
    <row r="307" spans="1:11" s="74" customFormat="1" ht="15.75">
      <c r="A307" s="20" t="s">
        <v>57</v>
      </c>
      <c r="B307" s="23" t="s">
        <v>347</v>
      </c>
      <c r="C307" s="32" t="s">
        <v>261</v>
      </c>
      <c r="D307" s="32" t="s">
        <v>269</v>
      </c>
      <c r="E307" s="32"/>
      <c r="F307" s="44">
        <f t="shared" si="28"/>
        <v>17620</v>
      </c>
      <c r="G307" s="44">
        <f t="shared" si="28"/>
        <v>17620</v>
      </c>
      <c r="K307" s="77"/>
    </row>
    <row r="308" spans="1:11" s="74" customFormat="1" ht="15.75">
      <c r="A308" s="22" t="s">
        <v>351</v>
      </c>
      <c r="B308" s="23" t="s">
        <v>347</v>
      </c>
      <c r="C308" s="32" t="s">
        <v>261</v>
      </c>
      <c r="D308" s="32" t="s">
        <v>269</v>
      </c>
      <c r="E308" s="32" t="s">
        <v>275</v>
      </c>
      <c r="F308" s="44">
        <v>17620</v>
      </c>
      <c r="G308" s="44">
        <f>F308</f>
        <v>17620</v>
      </c>
      <c r="K308" s="77"/>
    </row>
    <row r="309" spans="1:11" s="11" customFormat="1" ht="47.25">
      <c r="A309" s="19" t="s">
        <v>190</v>
      </c>
      <c r="B309" s="18" t="s">
        <v>191</v>
      </c>
      <c r="C309" s="30"/>
      <c r="D309" s="30"/>
      <c r="E309" s="30"/>
      <c r="F309" s="43">
        <f>F310</f>
        <v>5486000</v>
      </c>
      <c r="G309" s="43">
        <f>G310</f>
        <v>0</v>
      </c>
      <c r="K309" s="78"/>
    </row>
    <row r="310" spans="1:7" ht="63">
      <c r="A310" s="20" t="s">
        <v>199</v>
      </c>
      <c r="B310" s="21" t="s">
        <v>192</v>
      </c>
      <c r="C310" s="31"/>
      <c r="D310" s="31"/>
      <c r="E310" s="31"/>
      <c r="F310" s="44">
        <f>F311</f>
        <v>5486000</v>
      </c>
      <c r="G310" s="44">
        <v>0</v>
      </c>
    </row>
    <row r="311" spans="1:7" ht="31.5">
      <c r="A311" s="20" t="s">
        <v>251</v>
      </c>
      <c r="B311" s="21" t="s">
        <v>192</v>
      </c>
      <c r="C311" s="31" t="s">
        <v>252</v>
      </c>
      <c r="D311" s="31"/>
      <c r="E311" s="31"/>
      <c r="F311" s="44">
        <f>F312</f>
        <v>5486000</v>
      </c>
      <c r="G311" s="44">
        <f>G312</f>
        <v>0</v>
      </c>
    </row>
    <row r="312" spans="1:7" ht="15.75">
      <c r="A312" s="20" t="s">
        <v>59</v>
      </c>
      <c r="B312" s="21" t="s">
        <v>192</v>
      </c>
      <c r="C312" s="31" t="s">
        <v>252</v>
      </c>
      <c r="D312" s="31" t="s">
        <v>275</v>
      </c>
      <c r="E312" s="31"/>
      <c r="F312" s="44">
        <f>F313+F314</f>
        <v>5486000</v>
      </c>
      <c r="G312" s="44">
        <v>0</v>
      </c>
    </row>
    <row r="313" spans="1:7" ht="15.75">
      <c r="A313" s="20" t="s">
        <v>63</v>
      </c>
      <c r="B313" s="21" t="s">
        <v>192</v>
      </c>
      <c r="C313" s="31" t="s">
        <v>252</v>
      </c>
      <c r="D313" s="31" t="s">
        <v>275</v>
      </c>
      <c r="E313" s="31" t="s">
        <v>268</v>
      </c>
      <c r="F313" s="44">
        <f>1910000+490000+500000+430000-123000</f>
        <v>3207000</v>
      </c>
      <c r="G313" s="44">
        <v>0</v>
      </c>
    </row>
    <row r="314" spans="1:7" ht="15.75">
      <c r="A314" s="22" t="s">
        <v>61</v>
      </c>
      <c r="B314" s="21" t="s">
        <v>192</v>
      </c>
      <c r="C314" s="32" t="s">
        <v>252</v>
      </c>
      <c r="D314" s="32" t="s">
        <v>275</v>
      </c>
      <c r="E314" s="32" t="s">
        <v>257</v>
      </c>
      <c r="F314" s="44">
        <f>1350000-490000+100000+900000+419000</f>
        <v>2279000</v>
      </c>
      <c r="G314" s="44">
        <v>0</v>
      </c>
    </row>
    <row r="315" spans="1:11" s="11" customFormat="1" ht="63">
      <c r="A315" s="19" t="s">
        <v>294</v>
      </c>
      <c r="B315" s="18" t="s">
        <v>193</v>
      </c>
      <c r="C315" s="30"/>
      <c r="D315" s="30"/>
      <c r="E315" s="30"/>
      <c r="F315" s="43">
        <f>F316+F320</f>
        <v>42840548.5</v>
      </c>
      <c r="G315" s="43">
        <f>G316+G320</f>
        <v>0</v>
      </c>
      <c r="K315" s="78"/>
    </row>
    <row r="316" spans="1:11" ht="63">
      <c r="A316" s="20" t="s">
        <v>14</v>
      </c>
      <c r="B316" s="21" t="s">
        <v>194</v>
      </c>
      <c r="C316" s="31"/>
      <c r="D316" s="31"/>
      <c r="E316" s="31"/>
      <c r="F316" s="44">
        <f>F317</f>
        <v>42838282</v>
      </c>
      <c r="G316" s="44">
        <v>0</v>
      </c>
      <c r="H316" s="49"/>
      <c r="I316" s="49"/>
      <c r="J316" s="49"/>
      <c r="K316" s="80"/>
    </row>
    <row r="317" spans="1:11" ht="31.5">
      <c r="A317" s="20" t="s">
        <v>251</v>
      </c>
      <c r="B317" s="21" t="s">
        <v>194</v>
      </c>
      <c r="C317" s="31" t="s">
        <v>252</v>
      </c>
      <c r="D317" s="31"/>
      <c r="E317" s="31"/>
      <c r="F317" s="44">
        <f>F318</f>
        <v>42838282</v>
      </c>
      <c r="G317" s="44">
        <f>G318</f>
        <v>0</v>
      </c>
      <c r="H317" s="49"/>
      <c r="I317" s="49"/>
      <c r="J317" s="49"/>
      <c r="K317" s="80"/>
    </row>
    <row r="318" spans="1:11" ht="15.75">
      <c r="A318" s="20" t="s">
        <v>59</v>
      </c>
      <c r="B318" s="21" t="s">
        <v>194</v>
      </c>
      <c r="C318" s="31" t="s">
        <v>252</v>
      </c>
      <c r="D318" s="31" t="s">
        <v>275</v>
      </c>
      <c r="E318" s="31"/>
      <c r="F318" s="44">
        <f>F319</f>
        <v>42838282</v>
      </c>
      <c r="G318" s="44">
        <v>0</v>
      </c>
      <c r="H318" s="49"/>
      <c r="I318" s="49"/>
      <c r="J318" s="49"/>
      <c r="K318" s="80"/>
    </row>
    <row r="319" spans="1:11" ht="31.5">
      <c r="A319" s="20" t="s">
        <v>60</v>
      </c>
      <c r="B319" s="21" t="s">
        <v>194</v>
      </c>
      <c r="C319" s="31" t="s">
        <v>252</v>
      </c>
      <c r="D319" s="31" t="s">
        <v>275</v>
      </c>
      <c r="E319" s="31" t="s">
        <v>275</v>
      </c>
      <c r="F319" s="44">
        <f>16906500+20020500+31282+5720000+160000</f>
        <v>42838282</v>
      </c>
      <c r="G319" s="44">
        <v>0</v>
      </c>
      <c r="H319" s="49"/>
      <c r="I319" s="49"/>
      <c r="J319" s="49"/>
      <c r="K319" s="80"/>
    </row>
    <row r="320" spans="1:11" s="74" customFormat="1" ht="31.5">
      <c r="A320" s="22" t="s">
        <v>162</v>
      </c>
      <c r="B320" s="23" t="s">
        <v>342</v>
      </c>
      <c r="C320" s="31"/>
      <c r="D320" s="31"/>
      <c r="E320" s="31"/>
      <c r="F320" s="44">
        <f aca="true" t="shared" si="29" ref="F320:G322">F321</f>
        <v>2266.5</v>
      </c>
      <c r="G320" s="44">
        <f t="shared" si="29"/>
        <v>0</v>
      </c>
      <c r="H320" s="49"/>
      <c r="I320" s="49"/>
      <c r="J320" s="49"/>
      <c r="K320" s="80"/>
    </row>
    <row r="321" spans="1:11" s="74" customFormat="1" ht="15.75">
      <c r="A321" s="22" t="s">
        <v>262</v>
      </c>
      <c r="B321" s="23" t="s">
        <v>342</v>
      </c>
      <c r="C321" s="32" t="s">
        <v>263</v>
      </c>
      <c r="D321" s="31"/>
      <c r="E321" s="31"/>
      <c r="F321" s="44">
        <f t="shared" si="29"/>
        <v>2266.5</v>
      </c>
      <c r="G321" s="44">
        <f t="shared" si="29"/>
        <v>0</v>
      </c>
      <c r="H321" s="49"/>
      <c r="I321" s="49"/>
      <c r="J321" s="49"/>
      <c r="K321" s="80"/>
    </row>
    <row r="322" spans="1:11" s="74" customFormat="1" ht="15.75">
      <c r="A322" s="22" t="s">
        <v>264</v>
      </c>
      <c r="B322" s="23" t="s">
        <v>342</v>
      </c>
      <c r="C322" s="32" t="s">
        <v>263</v>
      </c>
      <c r="D322" s="32" t="s">
        <v>265</v>
      </c>
      <c r="E322" s="31"/>
      <c r="F322" s="44">
        <f t="shared" si="29"/>
        <v>2266.5</v>
      </c>
      <c r="G322" s="44">
        <f t="shared" si="29"/>
        <v>0</v>
      </c>
      <c r="H322" s="49"/>
      <c r="I322" s="49"/>
      <c r="J322" s="49"/>
      <c r="K322" s="80"/>
    </row>
    <row r="323" spans="1:11" s="74" customFormat="1" ht="15.75">
      <c r="A323" s="22" t="s">
        <v>8</v>
      </c>
      <c r="B323" s="23" t="s">
        <v>342</v>
      </c>
      <c r="C323" s="32" t="s">
        <v>263</v>
      </c>
      <c r="D323" s="32" t="s">
        <v>265</v>
      </c>
      <c r="E323" s="32" t="s">
        <v>270</v>
      </c>
      <c r="F323" s="44">
        <v>2266.5</v>
      </c>
      <c r="G323" s="44">
        <v>0</v>
      </c>
      <c r="H323" s="49"/>
      <c r="I323" s="49"/>
      <c r="J323" s="49"/>
      <c r="K323" s="80"/>
    </row>
    <row r="324" spans="1:11" s="11" customFormat="1" ht="47.25">
      <c r="A324" s="19" t="s">
        <v>198</v>
      </c>
      <c r="B324" s="18" t="s">
        <v>195</v>
      </c>
      <c r="C324" s="30"/>
      <c r="D324" s="30"/>
      <c r="E324" s="30"/>
      <c r="F324" s="43">
        <f>F325+F330+F349+F354</f>
        <v>14300500</v>
      </c>
      <c r="G324" s="43">
        <f>G325</f>
        <v>0</v>
      </c>
      <c r="K324" s="78"/>
    </row>
    <row r="325" spans="1:11" s="11" customFormat="1" ht="31.5">
      <c r="A325" s="19" t="s">
        <v>197</v>
      </c>
      <c r="B325" s="18" t="s">
        <v>196</v>
      </c>
      <c r="C325" s="30"/>
      <c r="D325" s="30"/>
      <c r="E325" s="30"/>
      <c r="F325" s="43">
        <f>F326</f>
        <v>20000</v>
      </c>
      <c r="G325" s="43">
        <f>G326</f>
        <v>0</v>
      </c>
      <c r="K325" s="78"/>
    </row>
    <row r="326" spans="1:7" ht="31.5">
      <c r="A326" s="22" t="s">
        <v>162</v>
      </c>
      <c r="B326" s="21" t="s">
        <v>200</v>
      </c>
      <c r="C326" s="31"/>
      <c r="D326" s="31"/>
      <c r="E326" s="31"/>
      <c r="F326" s="44">
        <f>F327</f>
        <v>20000</v>
      </c>
      <c r="G326" s="44">
        <v>0</v>
      </c>
    </row>
    <row r="327" spans="1:7" ht="31.5">
      <c r="A327" s="20" t="s">
        <v>251</v>
      </c>
      <c r="B327" s="21" t="s">
        <v>200</v>
      </c>
      <c r="C327" s="31" t="s">
        <v>252</v>
      </c>
      <c r="D327" s="31"/>
      <c r="E327" s="31"/>
      <c r="F327" s="44">
        <f>F328</f>
        <v>20000</v>
      </c>
      <c r="G327" s="44">
        <v>0</v>
      </c>
    </row>
    <row r="328" spans="1:7" ht="15.75">
      <c r="A328" s="20" t="s">
        <v>253</v>
      </c>
      <c r="B328" s="21" t="s">
        <v>200</v>
      </c>
      <c r="C328" s="31" t="s">
        <v>252</v>
      </c>
      <c r="D328" s="31" t="s">
        <v>254</v>
      </c>
      <c r="E328" s="31"/>
      <c r="F328" s="44">
        <f>F329</f>
        <v>20000</v>
      </c>
      <c r="G328" s="44">
        <v>0</v>
      </c>
    </row>
    <row r="329" spans="1:7" ht="15.75">
      <c r="A329" s="20" t="s">
        <v>267</v>
      </c>
      <c r="B329" s="21" t="s">
        <v>200</v>
      </c>
      <c r="C329" s="31" t="s">
        <v>252</v>
      </c>
      <c r="D329" s="31" t="s">
        <v>254</v>
      </c>
      <c r="E329" s="31" t="s">
        <v>254</v>
      </c>
      <c r="F329" s="44">
        <v>20000</v>
      </c>
      <c r="G329" s="44">
        <v>0</v>
      </c>
    </row>
    <row r="330" spans="1:11" s="11" customFormat="1" ht="63">
      <c r="A330" s="19" t="s">
        <v>109</v>
      </c>
      <c r="B330" s="18" t="s">
        <v>201</v>
      </c>
      <c r="C330" s="30"/>
      <c r="D330" s="30"/>
      <c r="E330" s="30"/>
      <c r="F330" s="43">
        <f>F331+F341+F345</f>
        <v>13844500</v>
      </c>
      <c r="G330" s="43">
        <f>G331+G341+G345</f>
        <v>0</v>
      </c>
      <c r="K330" s="78"/>
    </row>
    <row r="331" spans="1:11" s="13" customFormat="1" ht="63">
      <c r="A331" s="20" t="s">
        <v>14</v>
      </c>
      <c r="B331" s="23" t="s">
        <v>202</v>
      </c>
      <c r="C331" s="32"/>
      <c r="D331" s="32"/>
      <c r="E331" s="32"/>
      <c r="F331" s="44">
        <f>F332+F335+F338</f>
        <v>12697419.6</v>
      </c>
      <c r="G331" s="44">
        <f>G332+G335+G338</f>
        <v>0</v>
      </c>
      <c r="K331" s="81"/>
    </row>
    <row r="332" spans="1:11" s="13" customFormat="1" ht="78.75">
      <c r="A332" s="22" t="s">
        <v>271</v>
      </c>
      <c r="B332" s="23" t="s">
        <v>202</v>
      </c>
      <c r="C332" s="32" t="s">
        <v>272</v>
      </c>
      <c r="D332" s="32"/>
      <c r="E332" s="32"/>
      <c r="F332" s="44">
        <f>F333</f>
        <v>11094530</v>
      </c>
      <c r="G332" s="44">
        <f>G333</f>
        <v>0</v>
      </c>
      <c r="K332" s="81"/>
    </row>
    <row r="333" spans="1:11" s="13" customFormat="1" ht="31.5">
      <c r="A333" s="20" t="s">
        <v>58</v>
      </c>
      <c r="B333" s="23" t="s">
        <v>202</v>
      </c>
      <c r="C333" s="32" t="s">
        <v>272</v>
      </c>
      <c r="D333" s="32" t="s">
        <v>258</v>
      </c>
      <c r="E333" s="32"/>
      <c r="F333" s="44">
        <f>F334</f>
        <v>11094530</v>
      </c>
      <c r="G333" s="44">
        <f>G334</f>
        <v>0</v>
      </c>
      <c r="K333" s="81"/>
    </row>
    <row r="334" spans="1:11" s="13" customFormat="1" ht="47.25">
      <c r="A334" s="22" t="s">
        <v>116</v>
      </c>
      <c r="B334" s="23" t="s">
        <v>202</v>
      </c>
      <c r="C334" s="32" t="s">
        <v>272</v>
      </c>
      <c r="D334" s="32" t="s">
        <v>258</v>
      </c>
      <c r="E334" s="32" t="s">
        <v>256</v>
      </c>
      <c r="F334" s="44">
        <f>11631500-161970-375000</f>
        <v>11094530</v>
      </c>
      <c r="G334" s="44">
        <v>0</v>
      </c>
      <c r="K334" s="81"/>
    </row>
    <row r="335" spans="1:11" s="13" customFormat="1" ht="31.5">
      <c r="A335" s="22" t="s">
        <v>260</v>
      </c>
      <c r="B335" s="23" t="s">
        <v>202</v>
      </c>
      <c r="C335" s="32" t="s">
        <v>261</v>
      </c>
      <c r="D335" s="32"/>
      <c r="E335" s="32"/>
      <c r="F335" s="44">
        <f>F336</f>
        <v>1579689.6</v>
      </c>
      <c r="G335" s="44">
        <f>G336</f>
        <v>0</v>
      </c>
      <c r="K335" s="81"/>
    </row>
    <row r="336" spans="1:11" s="13" customFormat="1" ht="31.5">
      <c r="A336" s="20" t="s">
        <v>58</v>
      </c>
      <c r="B336" s="23" t="s">
        <v>202</v>
      </c>
      <c r="C336" s="32" t="s">
        <v>261</v>
      </c>
      <c r="D336" s="32" t="s">
        <v>258</v>
      </c>
      <c r="E336" s="32"/>
      <c r="F336" s="44">
        <f>F337</f>
        <v>1579689.6</v>
      </c>
      <c r="G336" s="44">
        <f>G337</f>
        <v>0</v>
      </c>
      <c r="K336" s="81"/>
    </row>
    <row r="337" spans="1:7" ht="47.25">
      <c r="A337" s="22" t="s">
        <v>116</v>
      </c>
      <c r="B337" s="23" t="s">
        <v>202</v>
      </c>
      <c r="C337" s="32" t="s">
        <v>261</v>
      </c>
      <c r="D337" s="31" t="s">
        <v>258</v>
      </c>
      <c r="E337" s="31" t="s">
        <v>256</v>
      </c>
      <c r="F337" s="44">
        <f>1548700-10200-13000+54189.6</f>
        <v>1579689.6</v>
      </c>
      <c r="G337" s="44">
        <v>0</v>
      </c>
    </row>
    <row r="338" spans="1:11" s="74" customFormat="1" ht="15.75">
      <c r="A338" s="22" t="s">
        <v>273</v>
      </c>
      <c r="B338" s="23" t="s">
        <v>202</v>
      </c>
      <c r="C338" s="32" t="s">
        <v>274</v>
      </c>
      <c r="D338" s="31"/>
      <c r="E338" s="31"/>
      <c r="F338" s="44">
        <f>F339</f>
        <v>23200</v>
      </c>
      <c r="G338" s="44">
        <f>G339</f>
        <v>0</v>
      </c>
      <c r="K338" s="77"/>
    </row>
    <row r="339" spans="1:11" s="74" customFormat="1" ht="31.5">
      <c r="A339" s="20" t="s">
        <v>58</v>
      </c>
      <c r="B339" s="23" t="s">
        <v>202</v>
      </c>
      <c r="C339" s="32" t="s">
        <v>274</v>
      </c>
      <c r="D339" s="31" t="s">
        <v>258</v>
      </c>
      <c r="E339" s="31"/>
      <c r="F339" s="44">
        <f>F340</f>
        <v>23200</v>
      </c>
      <c r="G339" s="44">
        <v>0</v>
      </c>
      <c r="K339" s="77"/>
    </row>
    <row r="340" spans="1:11" s="74" customFormat="1" ht="47.25">
      <c r="A340" s="22" t="s">
        <v>116</v>
      </c>
      <c r="B340" s="23" t="s">
        <v>202</v>
      </c>
      <c r="C340" s="32" t="s">
        <v>274</v>
      </c>
      <c r="D340" s="31" t="s">
        <v>258</v>
      </c>
      <c r="E340" s="31" t="s">
        <v>256</v>
      </c>
      <c r="F340" s="44">
        <f>10200+13000</f>
        <v>23200</v>
      </c>
      <c r="G340" s="44">
        <v>0</v>
      </c>
      <c r="K340" s="77"/>
    </row>
    <row r="341" spans="1:11" s="13" customFormat="1" ht="60" customHeight="1">
      <c r="A341" s="22" t="s">
        <v>337</v>
      </c>
      <c r="B341" s="23" t="s">
        <v>336</v>
      </c>
      <c r="C341" s="32"/>
      <c r="D341" s="32"/>
      <c r="E341" s="32"/>
      <c r="F341" s="44">
        <f aca="true" t="shared" si="30" ref="F341:G343">F342</f>
        <v>147080.4</v>
      </c>
      <c r="G341" s="44">
        <f t="shared" si="30"/>
        <v>0</v>
      </c>
      <c r="K341" s="81"/>
    </row>
    <row r="342" spans="1:11" s="13" customFormat="1" ht="75.75" customHeight="1">
      <c r="A342" s="22" t="s">
        <v>271</v>
      </c>
      <c r="B342" s="23" t="s">
        <v>336</v>
      </c>
      <c r="C342" s="32" t="s">
        <v>272</v>
      </c>
      <c r="D342" s="32"/>
      <c r="E342" s="32"/>
      <c r="F342" s="44">
        <f t="shared" si="30"/>
        <v>147080.4</v>
      </c>
      <c r="G342" s="44">
        <f t="shared" si="30"/>
        <v>0</v>
      </c>
      <c r="K342" s="81"/>
    </row>
    <row r="343" spans="1:11" s="13" customFormat="1" ht="31.5">
      <c r="A343" s="20" t="s">
        <v>58</v>
      </c>
      <c r="B343" s="23" t="s">
        <v>336</v>
      </c>
      <c r="C343" s="32" t="s">
        <v>272</v>
      </c>
      <c r="D343" s="32" t="s">
        <v>258</v>
      </c>
      <c r="E343" s="32"/>
      <c r="F343" s="44">
        <f t="shared" si="30"/>
        <v>147080.4</v>
      </c>
      <c r="G343" s="44">
        <f t="shared" si="30"/>
        <v>0</v>
      </c>
      <c r="K343" s="81"/>
    </row>
    <row r="344" spans="1:11" s="13" customFormat="1" ht="47.25">
      <c r="A344" s="22" t="s">
        <v>116</v>
      </c>
      <c r="B344" s="23" t="s">
        <v>336</v>
      </c>
      <c r="C344" s="32" t="s">
        <v>272</v>
      </c>
      <c r="D344" s="32" t="s">
        <v>258</v>
      </c>
      <c r="E344" s="32" t="s">
        <v>256</v>
      </c>
      <c r="F344" s="44">
        <f>161970-14889.6</f>
        <v>147080.4</v>
      </c>
      <c r="G344" s="44">
        <v>0</v>
      </c>
      <c r="K344" s="81"/>
    </row>
    <row r="345" spans="1:11" s="13" customFormat="1" ht="15.75">
      <c r="A345" s="22" t="s">
        <v>204</v>
      </c>
      <c r="B345" s="23" t="s">
        <v>203</v>
      </c>
      <c r="C345" s="32"/>
      <c r="D345" s="32"/>
      <c r="E345" s="32"/>
      <c r="F345" s="44">
        <f>F346</f>
        <v>1000000</v>
      </c>
      <c r="G345" s="44">
        <v>0</v>
      </c>
      <c r="K345" s="81"/>
    </row>
    <row r="346" spans="1:11" s="13" customFormat="1" ht="15.75">
      <c r="A346" s="22" t="s">
        <v>273</v>
      </c>
      <c r="B346" s="23" t="s">
        <v>203</v>
      </c>
      <c r="C346" s="32" t="s">
        <v>274</v>
      </c>
      <c r="D346" s="32"/>
      <c r="E346" s="32"/>
      <c r="F346" s="44">
        <f>F347</f>
        <v>1000000</v>
      </c>
      <c r="G346" s="44">
        <f>G347</f>
        <v>0</v>
      </c>
      <c r="K346" s="81"/>
    </row>
    <row r="347" spans="1:11" s="13" customFormat="1" ht="15.75">
      <c r="A347" s="20" t="s">
        <v>53</v>
      </c>
      <c r="B347" s="23" t="s">
        <v>203</v>
      </c>
      <c r="C347" s="32" t="s">
        <v>274</v>
      </c>
      <c r="D347" s="32" t="s">
        <v>268</v>
      </c>
      <c r="E347" s="32"/>
      <c r="F347" s="44">
        <f>F348</f>
        <v>1000000</v>
      </c>
      <c r="G347" s="44">
        <f>G348</f>
        <v>0</v>
      </c>
      <c r="K347" s="81"/>
    </row>
    <row r="348" spans="1:11" s="13" customFormat="1" ht="15.75">
      <c r="A348" s="22" t="s">
        <v>124</v>
      </c>
      <c r="B348" s="23" t="s">
        <v>203</v>
      </c>
      <c r="C348" s="32" t="s">
        <v>274</v>
      </c>
      <c r="D348" s="32" t="s">
        <v>268</v>
      </c>
      <c r="E348" s="32" t="s">
        <v>42</v>
      </c>
      <c r="F348" s="44">
        <v>1000000</v>
      </c>
      <c r="G348" s="44">
        <v>0</v>
      </c>
      <c r="K348" s="81"/>
    </row>
    <row r="349" spans="1:11" s="11" customFormat="1" ht="31.5">
      <c r="A349" s="19" t="s">
        <v>206</v>
      </c>
      <c r="B349" s="18" t="s">
        <v>207</v>
      </c>
      <c r="C349" s="30"/>
      <c r="D349" s="30"/>
      <c r="E349" s="30"/>
      <c r="F349" s="43">
        <f>F350</f>
        <v>1000</v>
      </c>
      <c r="G349" s="43">
        <f>G350</f>
        <v>0</v>
      </c>
      <c r="K349" s="78"/>
    </row>
    <row r="350" spans="1:11" s="13" customFormat="1" ht="31.5">
      <c r="A350" s="20" t="s">
        <v>162</v>
      </c>
      <c r="B350" s="23" t="s">
        <v>208</v>
      </c>
      <c r="C350" s="32"/>
      <c r="D350" s="32"/>
      <c r="E350" s="32"/>
      <c r="F350" s="44">
        <f>F351</f>
        <v>1000</v>
      </c>
      <c r="G350" s="44">
        <v>0</v>
      </c>
      <c r="K350" s="81"/>
    </row>
    <row r="351" spans="1:11" s="13" customFormat="1" ht="31.5">
      <c r="A351" s="22" t="s">
        <v>260</v>
      </c>
      <c r="B351" s="23" t="s">
        <v>208</v>
      </c>
      <c r="C351" s="32" t="s">
        <v>261</v>
      </c>
      <c r="D351" s="32"/>
      <c r="E351" s="32"/>
      <c r="F351" s="44">
        <f>F352</f>
        <v>1000</v>
      </c>
      <c r="G351" s="44">
        <f>G352</f>
        <v>0</v>
      </c>
      <c r="K351" s="81"/>
    </row>
    <row r="352" spans="1:11" s="13" customFormat="1" ht="15.75">
      <c r="A352" s="20" t="s">
        <v>53</v>
      </c>
      <c r="B352" s="23" t="s">
        <v>208</v>
      </c>
      <c r="C352" s="32" t="s">
        <v>261</v>
      </c>
      <c r="D352" s="32" t="s">
        <v>268</v>
      </c>
      <c r="E352" s="32"/>
      <c r="F352" s="44">
        <f>F353</f>
        <v>1000</v>
      </c>
      <c r="G352" s="44">
        <f>G353</f>
        <v>0</v>
      </c>
      <c r="K352" s="81"/>
    </row>
    <row r="353" spans="1:11" s="13" customFormat="1" ht="15.75">
      <c r="A353" s="20" t="s">
        <v>54</v>
      </c>
      <c r="B353" s="23" t="s">
        <v>208</v>
      </c>
      <c r="C353" s="32" t="s">
        <v>261</v>
      </c>
      <c r="D353" s="32" t="s">
        <v>268</v>
      </c>
      <c r="E353" s="32" t="s">
        <v>55</v>
      </c>
      <c r="F353" s="44">
        <v>1000</v>
      </c>
      <c r="G353" s="44">
        <v>0</v>
      </c>
      <c r="K353" s="81"/>
    </row>
    <row r="354" spans="1:11" s="11" customFormat="1" ht="47.25">
      <c r="A354" s="19" t="s">
        <v>209</v>
      </c>
      <c r="B354" s="18" t="s">
        <v>210</v>
      </c>
      <c r="C354" s="30"/>
      <c r="D354" s="30"/>
      <c r="E354" s="30"/>
      <c r="F354" s="43">
        <f>F355+F359</f>
        <v>435000</v>
      </c>
      <c r="G354" s="43">
        <v>0</v>
      </c>
      <c r="K354" s="78"/>
    </row>
    <row r="355" spans="1:7" ht="47.25">
      <c r="A355" s="20" t="s">
        <v>185</v>
      </c>
      <c r="B355" s="21" t="s">
        <v>278</v>
      </c>
      <c r="C355" s="31"/>
      <c r="D355" s="31"/>
      <c r="E355" s="31"/>
      <c r="F355" s="44">
        <f>F356</f>
        <v>220000</v>
      </c>
      <c r="G355" s="44">
        <v>0</v>
      </c>
    </row>
    <row r="356" spans="1:7" ht="31.5">
      <c r="A356" s="20" t="s">
        <v>251</v>
      </c>
      <c r="B356" s="21" t="s">
        <v>278</v>
      </c>
      <c r="C356" s="31" t="s">
        <v>252</v>
      </c>
      <c r="D356" s="31"/>
      <c r="E356" s="31"/>
      <c r="F356" s="44">
        <f>F357</f>
        <v>220000</v>
      </c>
      <c r="G356" s="44">
        <f>G357</f>
        <v>0</v>
      </c>
    </row>
    <row r="357" spans="1:7" ht="31.5">
      <c r="A357" s="20" t="s">
        <v>58</v>
      </c>
      <c r="B357" s="21" t="s">
        <v>278</v>
      </c>
      <c r="C357" s="31" t="s">
        <v>252</v>
      </c>
      <c r="D357" s="31" t="s">
        <v>258</v>
      </c>
      <c r="E357" s="31"/>
      <c r="F357" s="44">
        <f>F358</f>
        <v>220000</v>
      </c>
      <c r="G357" s="44">
        <f>G358</f>
        <v>0</v>
      </c>
    </row>
    <row r="358" spans="1:7" ht="31.5">
      <c r="A358" s="20" t="s">
        <v>114</v>
      </c>
      <c r="B358" s="21" t="s">
        <v>278</v>
      </c>
      <c r="C358" s="31" t="s">
        <v>252</v>
      </c>
      <c r="D358" s="31" t="s">
        <v>258</v>
      </c>
      <c r="E358" s="31" t="s">
        <v>62</v>
      </c>
      <c r="F358" s="44">
        <v>220000</v>
      </c>
      <c r="G358" s="44">
        <v>0</v>
      </c>
    </row>
    <row r="359" spans="1:7" ht="31.5">
      <c r="A359" s="20" t="s">
        <v>251</v>
      </c>
      <c r="B359" s="21" t="s">
        <v>279</v>
      </c>
      <c r="C359" s="31" t="s">
        <v>252</v>
      </c>
      <c r="D359" s="31"/>
      <c r="E359" s="31"/>
      <c r="F359" s="44">
        <f>F360</f>
        <v>215000</v>
      </c>
      <c r="G359" s="44">
        <f>G360</f>
        <v>0</v>
      </c>
    </row>
    <row r="360" spans="1:7" ht="31.5">
      <c r="A360" s="20" t="s">
        <v>58</v>
      </c>
      <c r="B360" s="21" t="s">
        <v>279</v>
      </c>
      <c r="C360" s="31" t="s">
        <v>252</v>
      </c>
      <c r="D360" s="31" t="s">
        <v>258</v>
      </c>
      <c r="E360" s="31"/>
      <c r="F360" s="44">
        <f>F361</f>
        <v>215000</v>
      </c>
      <c r="G360" s="44">
        <f>G361</f>
        <v>0</v>
      </c>
    </row>
    <row r="361" spans="1:7" ht="31.5">
      <c r="A361" s="20" t="s">
        <v>114</v>
      </c>
      <c r="B361" s="21" t="s">
        <v>279</v>
      </c>
      <c r="C361" s="31" t="s">
        <v>252</v>
      </c>
      <c r="D361" s="31" t="s">
        <v>258</v>
      </c>
      <c r="E361" s="31" t="s">
        <v>62</v>
      </c>
      <c r="F361" s="44">
        <v>215000</v>
      </c>
      <c r="G361" s="44">
        <v>0</v>
      </c>
    </row>
    <row r="362" spans="1:11" s="11" customFormat="1" ht="31.5">
      <c r="A362" s="19" t="s">
        <v>212</v>
      </c>
      <c r="B362" s="18" t="s">
        <v>211</v>
      </c>
      <c r="C362" s="30"/>
      <c r="D362" s="30"/>
      <c r="E362" s="30"/>
      <c r="F362" s="43">
        <f>F363</f>
        <v>30000</v>
      </c>
      <c r="G362" s="43">
        <f>G363</f>
        <v>0</v>
      </c>
      <c r="K362" s="78"/>
    </row>
    <row r="363" spans="1:11" s="11" customFormat="1" ht="31.5">
      <c r="A363" s="19" t="s">
        <v>213</v>
      </c>
      <c r="B363" s="18" t="s">
        <v>214</v>
      </c>
      <c r="C363" s="30"/>
      <c r="D363" s="30"/>
      <c r="E363" s="30"/>
      <c r="F363" s="43">
        <f>F364</f>
        <v>30000</v>
      </c>
      <c r="G363" s="43">
        <v>0</v>
      </c>
      <c r="K363" s="78"/>
    </row>
    <row r="364" spans="1:7" ht="15.75">
      <c r="A364" s="20" t="s">
        <v>216</v>
      </c>
      <c r="B364" s="21" t="s">
        <v>215</v>
      </c>
      <c r="C364" s="31"/>
      <c r="D364" s="31"/>
      <c r="E364" s="31"/>
      <c r="F364" s="44">
        <f>F365</f>
        <v>30000</v>
      </c>
      <c r="G364" s="44">
        <f>G365</f>
        <v>0</v>
      </c>
    </row>
    <row r="365" spans="1:7" ht="31.5">
      <c r="A365" s="20" t="s">
        <v>251</v>
      </c>
      <c r="B365" s="21" t="s">
        <v>215</v>
      </c>
      <c r="C365" s="31" t="s">
        <v>252</v>
      </c>
      <c r="D365" s="31"/>
      <c r="E365" s="31"/>
      <c r="F365" s="44">
        <f>F366</f>
        <v>30000</v>
      </c>
      <c r="G365" s="44">
        <f>G366</f>
        <v>0</v>
      </c>
    </row>
    <row r="366" spans="1:7" ht="15.75">
      <c r="A366" s="20" t="s">
        <v>117</v>
      </c>
      <c r="B366" s="21" t="s">
        <v>215</v>
      </c>
      <c r="C366" s="31" t="s">
        <v>252</v>
      </c>
      <c r="D366" s="31" t="s">
        <v>270</v>
      </c>
      <c r="E366" s="31"/>
      <c r="F366" s="44">
        <f>F367</f>
        <v>30000</v>
      </c>
      <c r="G366" s="44">
        <f>G367</f>
        <v>0</v>
      </c>
    </row>
    <row r="367" spans="1:7" ht="15.75">
      <c r="A367" s="25" t="s">
        <v>118</v>
      </c>
      <c r="B367" s="21" t="s">
        <v>215</v>
      </c>
      <c r="C367" s="31" t="s">
        <v>252</v>
      </c>
      <c r="D367" s="31" t="s">
        <v>270</v>
      </c>
      <c r="E367" s="31" t="s">
        <v>275</v>
      </c>
      <c r="F367" s="44">
        <v>30000</v>
      </c>
      <c r="G367" s="44">
        <v>0</v>
      </c>
    </row>
    <row r="368" spans="1:11" s="11" customFormat="1" ht="31.5">
      <c r="A368" s="19" t="s">
        <v>218</v>
      </c>
      <c r="B368" s="18" t="s">
        <v>217</v>
      </c>
      <c r="C368" s="30"/>
      <c r="D368" s="30"/>
      <c r="E368" s="30"/>
      <c r="F368" s="43">
        <f>F369+F374</f>
        <v>9541500</v>
      </c>
      <c r="G368" s="43">
        <v>0</v>
      </c>
      <c r="K368" s="78"/>
    </row>
    <row r="369" spans="1:11" s="11" customFormat="1" ht="31.5">
      <c r="A369" s="19" t="s">
        <v>219</v>
      </c>
      <c r="B369" s="18" t="s">
        <v>220</v>
      </c>
      <c r="C369" s="30"/>
      <c r="D369" s="30"/>
      <c r="E369" s="30"/>
      <c r="F369" s="43">
        <f>F370</f>
        <v>9000000</v>
      </c>
      <c r="G369" s="43">
        <v>0</v>
      </c>
      <c r="K369" s="78"/>
    </row>
    <row r="370" spans="1:7" ht="47.25">
      <c r="A370" s="20" t="s">
        <v>185</v>
      </c>
      <c r="B370" s="21" t="s">
        <v>222</v>
      </c>
      <c r="C370" s="31"/>
      <c r="D370" s="31"/>
      <c r="E370" s="31"/>
      <c r="F370" s="44">
        <f>F371</f>
        <v>9000000</v>
      </c>
      <c r="G370" s="44">
        <v>0</v>
      </c>
    </row>
    <row r="371" spans="1:7" ht="31.5">
      <c r="A371" s="20" t="s">
        <v>251</v>
      </c>
      <c r="B371" s="21" t="s">
        <v>222</v>
      </c>
      <c r="C371" s="31" t="s">
        <v>252</v>
      </c>
      <c r="D371" s="31"/>
      <c r="E371" s="31"/>
      <c r="F371" s="44">
        <f>F372</f>
        <v>9000000</v>
      </c>
      <c r="G371" s="44">
        <f>G372</f>
        <v>0</v>
      </c>
    </row>
    <row r="372" spans="1:7" ht="15.75">
      <c r="A372" s="20" t="s">
        <v>57</v>
      </c>
      <c r="B372" s="21" t="s">
        <v>222</v>
      </c>
      <c r="C372" s="31" t="s">
        <v>252</v>
      </c>
      <c r="D372" s="31" t="s">
        <v>269</v>
      </c>
      <c r="E372" s="31"/>
      <c r="F372" s="44">
        <f>F373</f>
        <v>9000000</v>
      </c>
      <c r="G372" s="44">
        <f>G373</f>
        <v>0</v>
      </c>
    </row>
    <row r="373" spans="1:7" ht="15.75">
      <c r="A373" s="20" t="s">
        <v>112</v>
      </c>
      <c r="B373" s="21" t="s">
        <v>222</v>
      </c>
      <c r="C373" s="31" t="s">
        <v>252</v>
      </c>
      <c r="D373" s="31" t="s">
        <v>269</v>
      </c>
      <c r="E373" s="31" t="s">
        <v>256</v>
      </c>
      <c r="F373" s="44">
        <v>9000000</v>
      </c>
      <c r="G373" s="44">
        <v>0</v>
      </c>
    </row>
    <row r="374" spans="1:11" s="11" customFormat="1" ht="47.25">
      <c r="A374" s="19" t="s">
        <v>223</v>
      </c>
      <c r="B374" s="18" t="s">
        <v>224</v>
      </c>
      <c r="C374" s="30"/>
      <c r="D374" s="30"/>
      <c r="E374" s="30"/>
      <c r="F374" s="43">
        <f>F375+F379</f>
        <v>541500</v>
      </c>
      <c r="G374" s="43">
        <f>G375+G379</f>
        <v>0</v>
      </c>
      <c r="K374" s="78"/>
    </row>
    <row r="375" spans="1:7" ht="15.75">
      <c r="A375" s="20" t="s">
        <v>221</v>
      </c>
      <c r="B375" s="21" t="s">
        <v>225</v>
      </c>
      <c r="C375" s="31"/>
      <c r="D375" s="31"/>
      <c r="E375" s="31"/>
      <c r="F375" s="44">
        <f>F376</f>
        <v>218500</v>
      </c>
      <c r="G375" s="44">
        <f>G376</f>
        <v>0</v>
      </c>
    </row>
    <row r="376" spans="1:7" ht="31.5">
      <c r="A376" s="20" t="s">
        <v>251</v>
      </c>
      <c r="B376" s="21" t="s">
        <v>225</v>
      </c>
      <c r="C376" s="31" t="s">
        <v>252</v>
      </c>
      <c r="D376" s="31"/>
      <c r="E376" s="31"/>
      <c r="F376" s="44">
        <f>F377</f>
        <v>218500</v>
      </c>
      <c r="G376" s="44">
        <v>0</v>
      </c>
    </row>
    <row r="377" spans="1:7" ht="15.75">
      <c r="A377" s="20" t="s">
        <v>57</v>
      </c>
      <c r="B377" s="21" t="s">
        <v>225</v>
      </c>
      <c r="C377" s="31" t="s">
        <v>252</v>
      </c>
      <c r="D377" s="31" t="s">
        <v>269</v>
      </c>
      <c r="E377" s="31"/>
      <c r="F377" s="44">
        <f>F378</f>
        <v>218500</v>
      </c>
      <c r="G377" s="44">
        <f>G378</f>
        <v>0</v>
      </c>
    </row>
    <row r="378" spans="1:7" ht="15.75">
      <c r="A378" s="20" t="s">
        <v>112</v>
      </c>
      <c r="B378" s="21" t="s">
        <v>225</v>
      </c>
      <c r="C378" s="31" t="s">
        <v>252</v>
      </c>
      <c r="D378" s="31" t="s">
        <v>269</v>
      </c>
      <c r="E378" s="31" t="s">
        <v>256</v>
      </c>
      <c r="F378" s="44">
        <v>218500</v>
      </c>
      <c r="G378" s="44">
        <v>0</v>
      </c>
    </row>
    <row r="379" spans="1:11" s="26" customFormat="1" ht="15.75">
      <c r="A379" s="20" t="s">
        <v>221</v>
      </c>
      <c r="B379" s="21" t="s">
        <v>225</v>
      </c>
      <c r="C379" s="31"/>
      <c r="D379" s="31"/>
      <c r="E379" s="31"/>
      <c r="F379" s="44">
        <f aca="true" t="shared" si="31" ref="F379:G381">F380</f>
        <v>323000</v>
      </c>
      <c r="G379" s="44">
        <f t="shared" si="31"/>
        <v>0</v>
      </c>
      <c r="H379" s="51"/>
      <c r="I379" s="51"/>
      <c r="J379" s="51"/>
      <c r="K379" s="82"/>
    </row>
    <row r="380" spans="1:11" ht="31.5">
      <c r="A380" s="22" t="s">
        <v>251</v>
      </c>
      <c r="B380" s="21" t="s">
        <v>225</v>
      </c>
      <c r="C380" s="32" t="s">
        <v>252</v>
      </c>
      <c r="D380" s="31"/>
      <c r="E380" s="31"/>
      <c r="F380" s="44">
        <f t="shared" si="31"/>
        <v>323000</v>
      </c>
      <c r="G380" s="44">
        <f t="shared" si="31"/>
        <v>0</v>
      </c>
      <c r="H380" s="49"/>
      <c r="I380" s="49"/>
      <c r="J380" s="49"/>
      <c r="K380" s="80"/>
    </row>
    <row r="381" spans="1:11" ht="15.75">
      <c r="A381" s="22" t="s">
        <v>59</v>
      </c>
      <c r="B381" s="21" t="s">
        <v>225</v>
      </c>
      <c r="C381" s="32" t="s">
        <v>252</v>
      </c>
      <c r="D381" s="32" t="s">
        <v>275</v>
      </c>
      <c r="E381" s="31"/>
      <c r="F381" s="44">
        <f t="shared" si="31"/>
        <v>323000</v>
      </c>
      <c r="G381" s="44">
        <f t="shared" si="31"/>
        <v>0</v>
      </c>
      <c r="H381" s="49"/>
      <c r="I381" s="49"/>
      <c r="J381" s="49"/>
      <c r="K381" s="80"/>
    </row>
    <row r="382" spans="1:11" ht="31.5">
      <c r="A382" s="22" t="s">
        <v>60</v>
      </c>
      <c r="B382" s="21" t="s">
        <v>225</v>
      </c>
      <c r="C382" s="32" t="s">
        <v>252</v>
      </c>
      <c r="D382" s="32" t="s">
        <v>275</v>
      </c>
      <c r="E382" s="32" t="s">
        <v>275</v>
      </c>
      <c r="F382" s="44">
        <f>200000+123000</f>
        <v>323000</v>
      </c>
      <c r="G382" s="44">
        <v>0</v>
      </c>
      <c r="H382" s="49"/>
      <c r="I382" s="49"/>
      <c r="J382" s="49"/>
      <c r="K382" s="80"/>
    </row>
    <row r="383" spans="1:11" s="11" customFormat="1" ht="31.5">
      <c r="A383" s="19" t="s">
        <v>227</v>
      </c>
      <c r="B383" s="18" t="s">
        <v>226</v>
      </c>
      <c r="C383" s="30"/>
      <c r="D383" s="30"/>
      <c r="E383" s="30"/>
      <c r="F383" s="43">
        <f>F384+F389</f>
        <v>2691700</v>
      </c>
      <c r="G383" s="43">
        <v>0</v>
      </c>
      <c r="K383" s="78"/>
    </row>
    <row r="384" spans="1:11" s="11" customFormat="1" ht="47.25">
      <c r="A384" s="19" t="s">
        <v>228</v>
      </c>
      <c r="B384" s="18" t="s">
        <v>229</v>
      </c>
      <c r="C384" s="30"/>
      <c r="D384" s="30"/>
      <c r="E384" s="30"/>
      <c r="F384" s="43">
        <f>F385</f>
        <v>1591900</v>
      </c>
      <c r="G384" s="43">
        <f>G385</f>
        <v>0</v>
      </c>
      <c r="K384" s="78"/>
    </row>
    <row r="385" spans="1:7" ht="31.5">
      <c r="A385" s="20" t="s">
        <v>231</v>
      </c>
      <c r="B385" s="21" t="s">
        <v>230</v>
      </c>
      <c r="C385" s="31"/>
      <c r="D385" s="31"/>
      <c r="E385" s="31"/>
      <c r="F385" s="44">
        <f>F386</f>
        <v>1591900</v>
      </c>
      <c r="G385" s="44">
        <v>0</v>
      </c>
    </row>
    <row r="386" spans="1:7" ht="31.5">
      <c r="A386" s="20" t="s">
        <v>251</v>
      </c>
      <c r="B386" s="21" t="s">
        <v>230</v>
      </c>
      <c r="C386" s="31" t="s">
        <v>252</v>
      </c>
      <c r="D386" s="31"/>
      <c r="E386" s="31"/>
      <c r="F386" s="44">
        <f>F387</f>
        <v>1591900</v>
      </c>
      <c r="G386" s="44">
        <f>G387</f>
        <v>0</v>
      </c>
    </row>
    <row r="387" spans="1:7" ht="15.75">
      <c r="A387" s="20" t="s">
        <v>59</v>
      </c>
      <c r="B387" s="21" t="s">
        <v>230</v>
      </c>
      <c r="C387" s="31" t="s">
        <v>252</v>
      </c>
      <c r="D387" s="31" t="s">
        <v>275</v>
      </c>
      <c r="E387" s="31"/>
      <c r="F387" s="44">
        <f>F388</f>
        <v>1591900</v>
      </c>
      <c r="G387" s="44">
        <f>G388</f>
        <v>0</v>
      </c>
    </row>
    <row r="388" spans="1:7" ht="31.5">
      <c r="A388" s="20" t="s">
        <v>60</v>
      </c>
      <c r="B388" s="21" t="s">
        <v>230</v>
      </c>
      <c r="C388" s="31" t="s">
        <v>252</v>
      </c>
      <c r="D388" s="31" t="s">
        <v>275</v>
      </c>
      <c r="E388" s="31" t="s">
        <v>275</v>
      </c>
      <c r="F388" s="44">
        <f>891900+700000</f>
        <v>1591900</v>
      </c>
      <c r="G388" s="44">
        <v>0</v>
      </c>
    </row>
    <row r="389" spans="1:11" s="11" customFormat="1" ht="47.25">
      <c r="A389" s="19" t="s">
        <v>233</v>
      </c>
      <c r="B389" s="18" t="s">
        <v>232</v>
      </c>
      <c r="C389" s="30"/>
      <c r="D389" s="30"/>
      <c r="E389" s="30"/>
      <c r="F389" s="43">
        <f>F390</f>
        <v>1099800</v>
      </c>
      <c r="G389" s="43">
        <f>G390</f>
        <v>0</v>
      </c>
      <c r="K389" s="78"/>
    </row>
    <row r="390" spans="1:7" ht="31.5">
      <c r="A390" s="20" t="s">
        <v>231</v>
      </c>
      <c r="B390" s="21" t="s">
        <v>234</v>
      </c>
      <c r="C390" s="31"/>
      <c r="D390" s="31"/>
      <c r="E390" s="31"/>
      <c r="F390" s="44">
        <f>F391</f>
        <v>1099800</v>
      </c>
      <c r="G390" s="44">
        <v>0</v>
      </c>
    </row>
    <row r="391" spans="1:7" ht="31.5">
      <c r="A391" s="20" t="s">
        <v>251</v>
      </c>
      <c r="B391" s="21" t="s">
        <v>234</v>
      </c>
      <c r="C391" s="31" t="s">
        <v>252</v>
      </c>
      <c r="D391" s="31"/>
      <c r="E391" s="31"/>
      <c r="F391" s="44">
        <f>F392</f>
        <v>1099800</v>
      </c>
      <c r="G391" s="44">
        <f>G392</f>
        <v>0</v>
      </c>
    </row>
    <row r="392" spans="1:7" ht="15.75">
      <c r="A392" s="20" t="s">
        <v>59</v>
      </c>
      <c r="B392" s="21" t="s">
        <v>234</v>
      </c>
      <c r="C392" s="31" t="s">
        <v>252</v>
      </c>
      <c r="D392" s="31" t="s">
        <v>275</v>
      </c>
      <c r="E392" s="31"/>
      <c r="F392" s="44">
        <f>F393</f>
        <v>1099800</v>
      </c>
      <c r="G392" s="44">
        <f>G393</f>
        <v>0</v>
      </c>
    </row>
    <row r="393" spans="1:7" ht="15.75">
      <c r="A393" s="20" t="s">
        <v>61</v>
      </c>
      <c r="B393" s="21" t="s">
        <v>234</v>
      </c>
      <c r="C393" s="31" t="s">
        <v>252</v>
      </c>
      <c r="D393" s="31" t="s">
        <v>275</v>
      </c>
      <c r="E393" s="31" t="s">
        <v>257</v>
      </c>
      <c r="F393" s="44">
        <f>209800+10920500-4920500-2110000-3000000</f>
        <v>1099800</v>
      </c>
      <c r="G393" s="44">
        <v>0</v>
      </c>
    </row>
    <row r="394" spans="1:11" s="11" customFormat="1" ht="31.5">
      <c r="A394" s="19" t="s">
        <v>66</v>
      </c>
      <c r="B394" s="18" t="s">
        <v>64</v>
      </c>
      <c r="C394" s="30"/>
      <c r="D394" s="30"/>
      <c r="E394" s="30"/>
      <c r="F394" s="43">
        <f>F395</f>
        <v>8300</v>
      </c>
      <c r="G394" s="43">
        <f>G395</f>
        <v>3300</v>
      </c>
      <c r="K394" s="78"/>
    </row>
    <row r="395" spans="1:11" s="11" customFormat="1" ht="31.5">
      <c r="A395" s="19" t="s">
        <v>67</v>
      </c>
      <c r="B395" s="18" t="s">
        <v>65</v>
      </c>
      <c r="C395" s="30"/>
      <c r="D395" s="30"/>
      <c r="E395" s="30"/>
      <c r="F395" s="43">
        <f>F396+F400</f>
        <v>8300</v>
      </c>
      <c r="G395" s="43">
        <f>G396+G400</f>
        <v>3300</v>
      </c>
      <c r="K395" s="78"/>
    </row>
    <row r="396" spans="1:7" ht="47.25">
      <c r="A396" s="20" t="s">
        <v>168</v>
      </c>
      <c r="B396" s="21" t="s">
        <v>68</v>
      </c>
      <c r="C396" s="31"/>
      <c r="D396" s="31"/>
      <c r="E396" s="31"/>
      <c r="F396" s="44">
        <f>F397</f>
        <v>5000</v>
      </c>
      <c r="G396" s="44">
        <v>0</v>
      </c>
    </row>
    <row r="397" spans="1:7" ht="31.5">
      <c r="A397" s="22" t="s">
        <v>260</v>
      </c>
      <c r="B397" s="21" t="s">
        <v>68</v>
      </c>
      <c r="C397" s="31" t="s">
        <v>261</v>
      </c>
      <c r="D397" s="31"/>
      <c r="E397" s="31"/>
      <c r="F397" s="44">
        <f>F398</f>
        <v>5000</v>
      </c>
      <c r="G397" s="44">
        <f>G398</f>
        <v>0</v>
      </c>
    </row>
    <row r="398" spans="1:7" ht="15.75">
      <c r="A398" s="20" t="s">
        <v>57</v>
      </c>
      <c r="B398" s="21" t="s">
        <v>68</v>
      </c>
      <c r="C398" s="31" t="s">
        <v>261</v>
      </c>
      <c r="D398" s="31" t="s">
        <v>269</v>
      </c>
      <c r="E398" s="31"/>
      <c r="F398" s="44">
        <f>F399</f>
        <v>5000</v>
      </c>
      <c r="G398" s="44">
        <f>G399</f>
        <v>0</v>
      </c>
    </row>
    <row r="399" spans="1:7" ht="15.75">
      <c r="A399" s="20" t="s">
        <v>110</v>
      </c>
      <c r="B399" s="21" t="s">
        <v>68</v>
      </c>
      <c r="C399" s="31" t="s">
        <v>261</v>
      </c>
      <c r="D399" s="31" t="s">
        <v>269</v>
      </c>
      <c r="E399" s="31" t="s">
        <v>111</v>
      </c>
      <c r="F399" s="44">
        <v>5000</v>
      </c>
      <c r="G399" s="44">
        <v>0</v>
      </c>
    </row>
    <row r="400" spans="1:7" ht="94.5">
      <c r="A400" s="20" t="s">
        <v>120</v>
      </c>
      <c r="B400" s="21" t="s">
        <v>70</v>
      </c>
      <c r="C400" s="31"/>
      <c r="D400" s="31"/>
      <c r="E400" s="31"/>
      <c r="F400" s="44">
        <f aca="true" t="shared" si="32" ref="F400:G402">F401</f>
        <v>3300</v>
      </c>
      <c r="G400" s="44">
        <f t="shared" si="32"/>
        <v>3300</v>
      </c>
    </row>
    <row r="401" spans="1:7" ht="78.75">
      <c r="A401" s="20" t="s">
        <v>271</v>
      </c>
      <c r="B401" s="21" t="s">
        <v>70</v>
      </c>
      <c r="C401" s="31" t="s">
        <v>272</v>
      </c>
      <c r="D401" s="31"/>
      <c r="E401" s="31"/>
      <c r="F401" s="44">
        <f t="shared" si="32"/>
        <v>3300</v>
      </c>
      <c r="G401" s="44">
        <f t="shared" si="32"/>
        <v>3300</v>
      </c>
    </row>
    <row r="402" spans="1:7" ht="15.75">
      <c r="A402" s="20" t="s">
        <v>57</v>
      </c>
      <c r="B402" s="21" t="s">
        <v>70</v>
      </c>
      <c r="C402" s="31" t="s">
        <v>272</v>
      </c>
      <c r="D402" s="31" t="s">
        <v>269</v>
      </c>
      <c r="E402" s="31"/>
      <c r="F402" s="44">
        <f t="shared" si="32"/>
        <v>3300</v>
      </c>
      <c r="G402" s="44">
        <f t="shared" si="32"/>
        <v>3300</v>
      </c>
    </row>
    <row r="403" spans="1:7" ht="15.75">
      <c r="A403" s="20" t="s">
        <v>110</v>
      </c>
      <c r="B403" s="21" t="s">
        <v>70</v>
      </c>
      <c r="C403" s="31" t="s">
        <v>272</v>
      </c>
      <c r="D403" s="31" t="s">
        <v>269</v>
      </c>
      <c r="E403" s="31" t="s">
        <v>111</v>
      </c>
      <c r="F403" s="44">
        <v>3300</v>
      </c>
      <c r="G403" s="44">
        <v>3300</v>
      </c>
    </row>
    <row r="404" spans="1:11" s="11" customFormat="1" ht="31.5">
      <c r="A404" s="19" t="s">
        <v>73</v>
      </c>
      <c r="B404" s="18" t="s">
        <v>71</v>
      </c>
      <c r="C404" s="30"/>
      <c r="D404" s="30"/>
      <c r="E404" s="30"/>
      <c r="F404" s="43">
        <f>F405+F414</f>
        <v>14301237.14</v>
      </c>
      <c r="G404" s="43">
        <f>G405+G414</f>
        <v>2114400</v>
      </c>
      <c r="K404" s="78"/>
    </row>
    <row r="405" spans="1:11" s="11" customFormat="1" ht="47.25">
      <c r="A405" s="19" t="s">
        <v>74</v>
      </c>
      <c r="B405" s="18" t="s">
        <v>72</v>
      </c>
      <c r="C405" s="30"/>
      <c r="D405" s="30"/>
      <c r="E405" s="30"/>
      <c r="F405" s="43">
        <f>F406+F410</f>
        <v>4027790</v>
      </c>
      <c r="G405" s="43">
        <f>G406+G410</f>
        <v>0</v>
      </c>
      <c r="K405" s="78"/>
    </row>
    <row r="406" spans="1:7" ht="63">
      <c r="A406" s="20" t="s">
        <v>14</v>
      </c>
      <c r="B406" s="21" t="s">
        <v>75</v>
      </c>
      <c r="C406" s="31"/>
      <c r="D406" s="31"/>
      <c r="E406" s="31"/>
      <c r="F406" s="44">
        <f aca="true" t="shared" si="33" ref="F406:G408">F407</f>
        <v>4023790</v>
      </c>
      <c r="G406" s="44">
        <f t="shared" si="33"/>
        <v>0</v>
      </c>
    </row>
    <row r="407" spans="1:7" ht="31.5">
      <c r="A407" s="20" t="s">
        <v>251</v>
      </c>
      <c r="B407" s="21" t="s">
        <v>75</v>
      </c>
      <c r="C407" s="31" t="s">
        <v>252</v>
      </c>
      <c r="D407" s="31"/>
      <c r="E407" s="31"/>
      <c r="F407" s="44">
        <f t="shared" si="33"/>
        <v>4023790</v>
      </c>
      <c r="G407" s="44">
        <f t="shared" si="33"/>
        <v>0</v>
      </c>
    </row>
    <row r="408" spans="1:7" ht="15.75">
      <c r="A408" s="20" t="s">
        <v>121</v>
      </c>
      <c r="B408" s="21" t="s">
        <v>75</v>
      </c>
      <c r="C408" s="31" t="s">
        <v>252</v>
      </c>
      <c r="D408" s="31" t="s">
        <v>111</v>
      </c>
      <c r="E408" s="31"/>
      <c r="F408" s="44">
        <f t="shared" si="33"/>
        <v>4023790</v>
      </c>
      <c r="G408" s="44">
        <f t="shared" si="33"/>
        <v>0</v>
      </c>
    </row>
    <row r="409" spans="1:7" ht="15.75">
      <c r="A409" s="20" t="s">
        <v>122</v>
      </c>
      <c r="B409" s="21" t="s">
        <v>75</v>
      </c>
      <c r="C409" s="31" t="s">
        <v>252</v>
      </c>
      <c r="D409" s="31" t="s">
        <v>111</v>
      </c>
      <c r="E409" s="31" t="s">
        <v>257</v>
      </c>
      <c r="F409" s="44">
        <f>3874060+149730</f>
        <v>4023790</v>
      </c>
      <c r="G409" s="44">
        <v>0</v>
      </c>
    </row>
    <row r="410" spans="1:7" ht="47.25">
      <c r="A410" s="20" t="s">
        <v>168</v>
      </c>
      <c r="B410" s="21" t="s">
        <v>76</v>
      </c>
      <c r="C410" s="31"/>
      <c r="D410" s="31"/>
      <c r="E410" s="31"/>
      <c r="F410" s="44">
        <f aca="true" t="shared" si="34" ref="F410:G412">F411</f>
        <v>4000</v>
      </c>
      <c r="G410" s="44">
        <f t="shared" si="34"/>
        <v>0</v>
      </c>
    </row>
    <row r="411" spans="1:7" ht="31.5">
      <c r="A411" s="20" t="s">
        <v>251</v>
      </c>
      <c r="B411" s="21" t="s">
        <v>76</v>
      </c>
      <c r="C411" s="31" t="s">
        <v>252</v>
      </c>
      <c r="D411" s="31"/>
      <c r="E411" s="31"/>
      <c r="F411" s="44">
        <f t="shared" si="34"/>
        <v>4000</v>
      </c>
      <c r="G411" s="44">
        <f t="shared" si="34"/>
        <v>0</v>
      </c>
    </row>
    <row r="412" spans="1:7" ht="15.75">
      <c r="A412" s="20" t="s">
        <v>121</v>
      </c>
      <c r="B412" s="21" t="s">
        <v>76</v>
      </c>
      <c r="C412" s="31" t="s">
        <v>252</v>
      </c>
      <c r="D412" s="31" t="s">
        <v>111</v>
      </c>
      <c r="E412" s="31"/>
      <c r="F412" s="44">
        <f t="shared" si="34"/>
        <v>4000</v>
      </c>
      <c r="G412" s="44">
        <f t="shared" si="34"/>
        <v>0</v>
      </c>
    </row>
    <row r="413" spans="1:7" ht="15.75">
      <c r="A413" s="20" t="s">
        <v>122</v>
      </c>
      <c r="B413" s="21" t="s">
        <v>76</v>
      </c>
      <c r="C413" s="31" t="s">
        <v>252</v>
      </c>
      <c r="D413" s="31" t="s">
        <v>111</v>
      </c>
      <c r="E413" s="31" t="s">
        <v>257</v>
      </c>
      <c r="F413" s="44">
        <v>4000</v>
      </c>
      <c r="G413" s="44">
        <v>0</v>
      </c>
    </row>
    <row r="414" spans="1:11" s="11" customFormat="1" ht="31.5">
      <c r="A414" s="19" t="s">
        <v>78</v>
      </c>
      <c r="B414" s="18" t="s">
        <v>77</v>
      </c>
      <c r="C414" s="30"/>
      <c r="D414" s="30"/>
      <c r="E414" s="30"/>
      <c r="F414" s="43">
        <f>F415+F434+F419+F426+F430</f>
        <v>10273447.14</v>
      </c>
      <c r="G414" s="43">
        <f>G415+G434+G419+G426+G430</f>
        <v>2114400</v>
      </c>
      <c r="K414" s="78"/>
    </row>
    <row r="415" spans="1:7" ht="47.25">
      <c r="A415" s="20" t="s">
        <v>56</v>
      </c>
      <c r="B415" s="21" t="s">
        <v>79</v>
      </c>
      <c r="C415" s="31"/>
      <c r="D415" s="31"/>
      <c r="E415" s="31"/>
      <c r="F415" s="44">
        <f aca="true" t="shared" si="35" ref="F415:G417">F416</f>
        <v>6485447.14</v>
      </c>
      <c r="G415" s="44">
        <f t="shared" si="35"/>
        <v>0</v>
      </c>
    </row>
    <row r="416" spans="1:7" ht="31.5">
      <c r="A416" s="22" t="s">
        <v>260</v>
      </c>
      <c r="B416" s="21" t="s">
        <v>79</v>
      </c>
      <c r="C416" s="31" t="s">
        <v>261</v>
      </c>
      <c r="D416" s="31"/>
      <c r="E416" s="31"/>
      <c r="F416" s="44">
        <f t="shared" si="35"/>
        <v>6485447.14</v>
      </c>
      <c r="G416" s="44">
        <f t="shared" si="35"/>
        <v>0</v>
      </c>
    </row>
    <row r="417" spans="1:7" ht="15.75">
      <c r="A417" s="22" t="s">
        <v>53</v>
      </c>
      <c r="B417" s="21" t="s">
        <v>79</v>
      </c>
      <c r="C417" s="31" t="s">
        <v>261</v>
      </c>
      <c r="D417" s="31" t="s">
        <v>268</v>
      </c>
      <c r="E417" s="31"/>
      <c r="F417" s="44">
        <f t="shared" si="35"/>
        <v>6485447.14</v>
      </c>
      <c r="G417" s="44">
        <f t="shared" si="35"/>
        <v>0</v>
      </c>
    </row>
    <row r="418" spans="1:7" ht="15.75">
      <c r="A418" s="22" t="s">
        <v>54</v>
      </c>
      <c r="B418" s="21" t="s">
        <v>79</v>
      </c>
      <c r="C418" s="31" t="s">
        <v>261</v>
      </c>
      <c r="D418" s="31" t="s">
        <v>268</v>
      </c>
      <c r="E418" s="31" t="s">
        <v>55</v>
      </c>
      <c r="F418" s="44">
        <f>3989040+353500+144600+240000+2159000-600-400000-82000-55000+82000+55000-58000+23000+35000-15000-48000+63000-92.86-91000-16000+97000+10000</f>
        <v>6485447.14</v>
      </c>
      <c r="G418" s="44">
        <v>0</v>
      </c>
    </row>
    <row r="419" spans="1:7" ht="15.75">
      <c r="A419" s="22" t="s">
        <v>285</v>
      </c>
      <c r="B419" s="23" t="s">
        <v>313</v>
      </c>
      <c r="C419" s="31"/>
      <c r="D419" s="31"/>
      <c r="E419" s="31"/>
      <c r="F419" s="44">
        <f>F420+F423</f>
        <v>1673600</v>
      </c>
      <c r="G419" s="44">
        <f>G420+G423</f>
        <v>0</v>
      </c>
    </row>
    <row r="420" spans="1:11" s="74" customFormat="1" ht="31.5">
      <c r="A420" s="22" t="s">
        <v>260</v>
      </c>
      <c r="B420" s="23" t="s">
        <v>313</v>
      </c>
      <c r="C420" s="32" t="s">
        <v>261</v>
      </c>
      <c r="D420" s="31"/>
      <c r="E420" s="31"/>
      <c r="F420" s="44">
        <f>F421</f>
        <v>600</v>
      </c>
      <c r="G420" s="44">
        <f>G421</f>
        <v>0</v>
      </c>
      <c r="K420" s="77"/>
    </row>
    <row r="421" spans="1:11" s="74" customFormat="1" ht="15.75">
      <c r="A421" s="22" t="s">
        <v>53</v>
      </c>
      <c r="B421" s="23" t="s">
        <v>313</v>
      </c>
      <c r="C421" s="32" t="s">
        <v>261</v>
      </c>
      <c r="D421" s="32" t="s">
        <v>268</v>
      </c>
      <c r="E421" s="31"/>
      <c r="F421" s="44">
        <f>F422</f>
        <v>600</v>
      </c>
      <c r="G421" s="44">
        <f>G422</f>
        <v>0</v>
      </c>
      <c r="K421" s="77"/>
    </row>
    <row r="422" spans="1:11" s="74" customFormat="1" ht="15.75">
      <c r="A422" s="22" t="s">
        <v>54</v>
      </c>
      <c r="B422" s="23" t="s">
        <v>313</v>
      </c>
      <c r="C422" s="32" t="s">
        <v>261</v>
      </c>
      <c r="D422" s="32" t="s">
        <v>268</v>
      </c>
      <c r="E422" s="32" t="s">
        <v>55</v>
      </c>
      <c r="F422" s="44">
        <v>600</v>
      </c>
      <c r="G422" s="44">
        <v>0</v>
      </c>
      <c r="K422" s="77"/>
    </row>
    <row r="423" spans="1:7" ht="31.5">
      <c r="A423" s="22" t="s">
        <v>251</v>
      </c>
      <c r="B423" s="23" t="s">
        <v>313</v>
      </c>
      <c r="C423" s="32" t="s">
        <v>252</v>
      </c>
      <c r="D423" s="31"/>
      <c r="E423" s="31"/>
      <c r="F423" s="44">
        <f>F424</f>
        <v>1673000</v>
      </c>
      <c r="G423" s="44">
        <f>G424</f>
        <v>0</v>
      </c>
    </row>
    <row r="424" spans="1:7" ht="15.75">
      <c r="A424" s="22" t="s">
        <v>53</v>
      </c>
      <c r="B424" s="23" t="s">
        <v>313</v>
      </c>
      <c r="C424" s="32" t="s">
        <v>252</v>
      </c>
      <c r="D424" s="32" t="s">
        <v>268</v>
      </c>
      <c r="E424" s="31"/>
      <c r="F424" s="44">
        <f>F425</f>
        <v>1673000</v>
      </c>
      <c r="G424" s="44">
        <f>G425</f>
        <v>0</v>
      </c>
    </row>
    <row r="425" spans="1:7" ht="15.75">
      <c r="A425" s="22" t="s">
        <v>54</v>
      </c>
      <c r="B425" s="23" t="s">
        <v>312</v>
      </c>
      <c r="C425" s="32" t="s">
        <v>252</v>
      </c>
      <c r="D425" s="32" t="s">
        <v>268</v>
      </c>
      <c r="E425" s="32" t="s">
        <v>55</v>
      </c>
      <c r="F425" s="44">
        <f>1400000+273000</f>
        <v>1673000</v>
      </c>
      <c r="G425" s="44">
        <v>0</v>
      </c>
    </row>
    <row r="426" spans="1:7" ht="54.75" customHeight="1">
      <c r="A426" s="50" t="s">
        <v>335</v>
      </c>
      <c r="B426" s="23" t="s">
        <v>314</v>
      </c>
      <c r="C426" s="32"/>
      <c r="D426" s="32"/>
      <c r="E426" s="32"/>
      <c r="F426" s="44">
        <f aca="true" t="shared" si="36" ref="F426:G428">F427</f>
        <v>1658000</v>
      </c>
      <c r="G426" s="44">
        <f t="shared" si="36"/>
        <v>1658000</v>
      </c>
    </row>
    <row r="427" spans="1:7" ht="31.5">
      <c r="A427" s="22" t="s">
        <v>251</v>
      </c>
      <c r="B427" s="23" t="s">
        <v>314</v>
      </c>
      <c r="C427" s="32" t="s">
        <v>252</v>
      </c>
      <c r="D427" s="32"/>
      <c r="E427" s="32"/>
      <c r="F427" s="44">
        <f t="shared" si="36"/>
        <v>1658000</v>
      </c>
      <c r="G427" s="44">
        <f t="shared" si="36"/>
        <v>1658000</v>
      </c>
    </row>
    <row r="428" spans="1:7" ht="15.75">
      <c r="A428" s="22" t="s">
        <v>53</v>
      </c>
      <c r="B428" s="23" t="s">
        <v>314</v>
      </c>
      <c r="C428" s="32" t="s">
        <v>252</v>
      </c>
      <c r="D428" s="32" t="s">
        <v>268</v>
      </c>
      <c r="E428" s="32"/>
      <c r="F428" s="44">
        <f t="shared" si="36"/>
        <v>1658000</v>
      </c>
      <c r="G428" s="44">
        <f t="shared" si="36"/>
        <v>1658000</v>
      </c>
    </row>
    <row r="429" spans="1:7" ht="15.75">
      <c r="A429" s="22" t="s">
        <v>54</v>
      </c>
      <c r="B429" s="23" t="s">
        <v>314</v>
      </c>
      <c r="C429" s="32" t="s">
        <v>252</v>
      </c>
      <c r="D429" s="32" t="s">
        <v>268</v>
      </c>
      <c r="E429" s="32" t="s">
        <v>55</v>
      </c>
      <c r="F429" s="44">
        <f>1745300-87300</f>
        <v>1658000</v>
      </c>
      <c r="G429" s="44">
        <f>F429</f>
        <v>1658000</v>
      </c>
    </row>
    <row r="430" spans="1:7" ht="40.5" customHeight="1">
      <c r="A430" s="50" t="s">
        <v>305</v>
      </c>
      <c r="B430" s="23" t="s">
        <v>306</v>
      </c>
      <c r="C430" s="32"/>
      <c r="D430" s="32"/>
      <c r="E430" s="32"/>
      <c r="F430" s="44">
        <f aca="true" t="shared" si="37" ref="F430:G432">F431</f>
        <v>445000</v>
      </c>
      <c r="G430" s="44">
        <f t="shared" si="37"/>
        <v>445000</v>
      </c>
    </row>
    <row r="431" spans="1:7" ht="31.5">
      <c r="A431" s="22" t="s">
        <v>260</v>
      </c>
      <c r="B431" s="23" t="s">
        <v>306</v>
      </c>
      <c r="C431" s="32" t="s">
        <v>261</v>
      </c>
      <c r="D431" s="32"/>
      <c r="E431" s="32"/>
      <c r="F431" s="44">
        <f t="shared" si="37"/>
        <v>445000</v>
      </c>
      <c r="G431" s="44">
        <f t="shared" si="37"/>
        <v>445000</v>
      </c>
    </row>
    <row r="432" spans="1:7" ht="15.75">
      <c r="A432" s="22" t="s">
        <v>53</v>
      </c>
      <c r="B432" s="23" t="s">
        <v>306</v>
      </c>
      <c r="C432" s="32" t="s">
        <v>261</v>
      </c>
      <c r="D432" s="32" t="s">
        <v>268</v>
      </c>
      <c r="E432" s="32"/>
      <c r="F432" s="44">
        <f t="shared" si="37"/>
        <v>445000</v>
      </c>
      <c r="G432" s="44">
        <f t="shared" si="37"/>
        <v>445000</v>
      </c>
    </row>
    <row r="433" spans="1:7" ht="15.75">
      <c r="A433" s="22" t="s">
        <v>54</v>
      </c>
      <c r="B433" s="23" t="s">
        <v>306</v>
      </c>
      <c r="C433" s="32" t="s">
        <v>261</v>
      </c>
      <c r="D433" s="32" t="s">
        <v>268</v>
      </c>
      <c r="E433" s="32" t="s">
        <v>55</v>
      </c>
      <c r="F433" s="44">
        <v>445000</v>
      </c>
      <c r="G433" s="44">
        <v>445000</v>
      </c>
    </row>
    <row r="434" spans="1:7" ht="78.75">
      <c r="A434" s="20" t="s">
        <v>123</v>
      </c>
      <c r="B434" s="21" t="s">
        <v>80</v>
      </c>
      <c r="C434" s="31"/>
      <c r="D434" s="31"/>
      <c r="E434" s="31"/>
      <c r="F434" s="44">
        <f aca="true" t="shared" si="38" ref="F434:G436">F435</f>
        <v>11400</v>
      </c>
      <c r="G434" s="44">
        <f t="shared" si="38"/>
        <v>11400</v>
      </c>
    </row>
    <row r="435" spans="1:7" ht="31.5">
      <c r="A435" s="22" t="s">
        <v>260</v>
      </c>
      <c r="B435" s="21" t="s">
        <v>80</v>
      </c>
      <c r="C435" s="31" t="s">
        <v>261</v>
      </c>
      <c r="D435" s="31"/>
      <c r="E435" s="31"/>
      <c r="F435" s="44">
        <f t="shared" si="38"/>
        <v>11400</v>
      </c>
      <c r="G435" s="44">
        <f t="shared" si="38"/>
        <v>11400</v>
      </c>
    </row>
    <row r="436" spans="1:7" ht="15.75">
      <c r="A436" s="20" t="s">
        <v>57</v>
      </c>
      <c r="B436" s="21" t="s">
        <v>80</v>
      </c>
      <c r="C436" s="31" t="s">
        <v>261</v>
      </c>
      <c r="D436" s="31" t="s">
        <v>269</v>
      </c>
      <c r="E436" s="31"/>
      <c r="F436" s="44">
        <f t="shared" si="38"/>
        <v>11400</v>
      </c>
      <c r="G436" s="44">
        <f t="shared" si="38"/>
        <v>11400</v>
      </c>
    </row>
    <row r="437" spans="1:7" ht="15.75">
      <c r="A437" s="20" t="s">
        <v>119</v>
      </c>
      <c r="B437" s="21" t="s">
        <v>80</v>
      </c>
      <c r="C437" s="31" t="s">
        <v>261</v>
      </c>
      <c r="D437" s="31" t="s">
        <v>269</v>
      </c>
      <c r="E437" s="31" t="s">
        <v>265</v>
      </c>
      <c r="F437" s="44">
        <v>11400</v>
      </c>
      <c r="G437" s="44">
        <v>11400</v>
      </c>
    </row>
    <row r="438" spans="1:11" s="11" customFormat="1" ht="78.75">
      <c r="A438" s="19" t="s">
        <v>81</v>
      </c>
      <c r="B438" s="18" t="s">
        <v>84</v>
      </c>
      <c r="C438" s="30"/>
      <c r="D438" s="30"/>
      <c r="E438" s="30"/>
      <c r="F438" s="43">
        <f>F439+F444</f>
        <v>8131452</v>
      </c>
      <c r="G438" s="43">
        <f>G439+G444</f>
        <v>0</v>
      </c>
      <c r="K438" s="78"/>
    </row>
    <row r="439" spans="1:11" s="11" customFormat="1" ht="31.5">
      <c r="A439" s="19" t="s">
        <v>82</v>
      </c>
      <c r="B439" s="18" t="s">
        <v>85</v>
      </c>
      <c r="C439" s="30"/>
      <c r="D439" s="30"/>
      <c r="E439" s="30"/>
      <c r="F439" s="43">
        <f aca="true" t="shared" si="39" ref="F439:G442">F440</f>
        <v>1245400</v>
      </c>
      <c r="G439" s="43">
        <f t="shared" si="39"/>
        <v>0</v>
      </c>
      <c r="K439" s="78"/>
    </row>
    <row r="440" spans="1:7" ht="31.5">
      <c r="A440" s="20" t="s">
        <v>162</v>
      </c>
      <c r="B440" s="21" t="s">
        <v>83</v>
      </c>
      <c r="C440" s="31"/>
      <c r="D440" s="31"/>
      <c r="E440" s="31"/>
      <c r="F440" s="44">
        <f t="shared" si="39"/>
        <v>1245400</v>
      </c>
      <c r="G440" s="44">
        <f t="shared" si="39"/>
        <v>0</v>
      </c>
    </row>
    <row r="441" spans="1:7" ht="31.5">
      <c r="A441" s="22" t="s">
        <v>260</v>
      </c>
      <c r="B441" s="21" t="s">
        <v>83</v>
      </c>
      <c r="C441" s="31" t="s">
        <v>261</v>
      </c>
      <c r="D441" s="31"/>
      <c r="E441" s="31"/>
      <c r="F441" s="44">
        <f t="shared" si="39"/>
        <v>1245400</v>
      </c>
      <c r="G441" s="44">
        <f t="shared" si="39"/>
        <v>0</v>
      </c>
    </row>
    <row r="442" spans="1:7" ht="15.75">
      <c r="A442" s="20" t="s">
        <v>53</v>
      </c>
      <c r="B442" s="21" t="s">
        <v>83</v>
      </c>
      <c r="C442" s="31" t="s">
        <v>261</v>
      </c>
      <c r="D442" s="31" t="s">
        <v>268</v>
      </c>
      <c r="E442" s="31"/>
      <c r="F442" s="44">
        <f t="shared" si="39"/>
        <v>1245400</v>
      </c>
      <c r="G442" s="44">
        <f t="shared" si="39"/>
        <v>0</v>
      </c>
    </row>
    <row r="443" spans="1:7" ht="15.75">
      <c r="A443" s="20" t="s">
        <v>54</v>
      </c>
      <c r="B443" s="21" t="s">
        <v>83</v>
      </c>
      <c r="C443" s="31" t="s">
        <v>261</v>
      </c>
      <c r="D443" s="31" t="s">
        <v>268</v>
      </c>
      <c r="E443" s="31" t="s">
        <v>55</v>
      </c>
      <c r="F443" s="44">
        <f>1285100-39700</f>
        <v>1245400</v>
      </c>
      <c r="G443" s="44">
        <v>0</v>
      </c>
    </row>
    <row r="444" spans="1:11" s="11" customFormat="1" ht="47.25">
      <c r="A444" s="19" t="s">
        <v>295</v>
      </c>
      <c r="B444" s="18" t="s">
        <v>86</v>
      </c>
      <c r="C444" s="30"/>
      <c r="D444" s="30"/>
      <c r="E444" s="30"/>
      <c r="F444" s="43">
        <f>F446+F449+F453</f>
        <v>6886052</v>
      </c>
      <c r="G444" s="43">
        <f>G446+G449+G453</f>
        <v>0</v>
      </c>
      <c r="K444" s="78"/>
    </row>
    <row r="445" spans="1:7" ht="31.5">
      <c r="A445" s="20" t="s">
        <v>127</v>
      </c>
      <c r="B445" s="21" t="s">
        <v>88</v>
      </c>
      <c r="C445" s="31"/>
      <c r="D445" s="31"/>
      <c r="E445" s="31"/>
      <c r="F445" s="44">
        <f aca="true" t="shared" si="40" ref="F445:G447">F446</f>
        <v>6054400</v>
      </c>
      <c r="G445" s="44">
        <f t="shared" si="40"/>
        <v>0</v>
      </c>
    </row>
    <row r="446" spans="1:7" ht="78.75">
      <c r="A446" s="20" t="s">
        <v>271</v>
      </c>
      <c r="B446" s="21" t="s">
        <v>88</v>
      </c>
      <c r="C446" s="31" t="s">
        <v>272</v>
      </c>
      <c r="D446" s="31"/>
      <c r="E446" s="31"/>
      <c r="F446" s="44">
        <f t="shared" si="40"/>
        <v>6054400</v>
      </c>
      <c r="G446" s="44">
        <f t="shared" si="40"/>
        <v>0</v>
      </c>
    </row>
    <row r="447" spans="1:7" ht="15.75">
      <c r="A447" s="20" t="s">
        <v>53</v>
      </c>
      <c r="B447" s="21" t="s">
        <v>88</v>
      </c>
      <c r="C447" s="31" t="s">
        <v>272</v>
      </c>
      <c r="D447" s="31" t="s">
        <v>268</v>
      </c>
      <c r="E447" s="31"/>
      <c r="F447" s="44">
        <f t="shared" si="40"/>
        <v>6054400</v>
      </c>
      <c r="G447" s="44">
        <f t="shared" si="40"/>
        <v>0</v>
      </c>
    </row>
    <row r="448" spans="1:7" ht="63">
      <c r="A448" s="20" t="s">
        <v>125</v>
      </c>
      <c r="B448" s="21" t="s">
        <v>88</v>
      </c>
      <c r="C448" s="31" t="s">
        <v>272</v>
      </c>
      <c r="D448" s="31" t="s">
        <v>268</v>
      </c>
      <c r="E448" s="31" t="s">
        <v>269</v>
      </c>
      <c r="F448" s="44">
        <f>6232400-193000+15000</f>
        <v>6054400</v>
      </c>
      <c r="G448" s="44">
        <v>0</v>
      </c>
    </row>
    <row r="449" spans="1:7" ht="31.5">
      <c r="A449" s="20" t="s">
        <v>90</v>
      </c>
      <c r="B449" s="21" t="s">
        <v>89</v>
      </c>
      <c r="C449" s="31"/>
      <c r="D449" s="31"/>
      <c r="E449" s="31"/>
      <c r="F449" s="44">
        <f>F450</f>
        <v>638652</v>
      </c>
      <c r="G449" s="44">
        <f>G450</f>
        <v>0</v>
      </c>
    </row>
    <row r="450" spans="1:7" ht="31.5">
      <c r="A450" s="22" t="s">
        <v>260</v>
      </c>
      <c r="B450" s="21" t="s">
        <v>89</v>
      </c>
      <c r="C450" s="31" t="s">
        <v>261</v>
      </c>
      <c r="D450" s="31"/>
      <c r="E450" s="31"/>
      <c r="F450" s="44">
        <f>+F451</f>
        <v>638652</v>
      </c>
      <c r="G450" s="44">
        <f>+G451</f>
        <v>0</v>
      </c>
    </row>
    <row r="451" spans="1:7" ht="15.75">
      <c r="A451" s="20" t="s">
        <v>53</v>
      </c>
      <c r="B451" s="21" t="s">
        <v>89</v>
      </c>
      <c r="C451" s="31" t="s">
        <v>261</v>
      </c>
      <c r="D451" s="31" t="s">
        <v>268</v>
      </c>
      <c r="E451" s="31"/>
      <c r="F451" s="44">
        <f>F452</f>
        <v>638652</v>
      </c>
      <c r="G451" s="44">
        <f>G452</f>
        <v>0</v>
      </c>
    </row>
    <row r="452" spans="1:7" ht="63">
      <c r="A452" s="20" t="s">
        <v>125</v>
      </c>
      <c r="B452" s="21" t="s">
        <v>89</v>
      </c>
      <c r="C452" s="31" t="s">
        <v>261</v>
      </c>
      <c r="D452" s="31" t="s">
        <v>268</v>
      </c>
      <c r="E452" s="31" t="s">
        <v>269</v>
      </c>
      <c r="F452" s="44">
        <f>808852+329800-200000-60000-20000-220000</f>
        <v>638652</v>
      </c>
      <c r="G452" s="44">
        <v>0</v>
      </c>
    </row>
    <row r="453" spans="1:7" ht="63">
      <c r="A453" s="25" t="s">
        <v>323</v>
      </c>
      <c r="B453" s="21" t="s">
        <v>324</v>
      </c>
      <c r="C453" s="31"/>
      <c r="D453" s="31"/>
      <c r="E453" s="31"/>
      <c r="F453" s="44">
        <f aca="true" t="shared" si="41" ref="F453:G455">F454</f>
        <v>193000</v>
      </c>
      <c r="G453" s="44">
        <f t="shared" si="41"/>
        <v>0</v>
      </c>
    </row>
    <row r="454" spans="1:7" ht="78.75">
      <c r="A454" s="25" t="s">
        <v>271</v>
      </c>
      <c r="B454" s="21" t="s">
        <v>324</v>
      </c>
      <c r="C454" s="31" t="s">
        <v>272</v>
      </c>
      <c r="D454" s="31"/>
      <c r="E454" s="31"/>
      <c r="F454" s="44">
        <f t="shared" si="41"/>
        <v>193000</v>
      </c>
      <c r="G454" s="44">
        <f t="shared" si="41"/>
        <v>0</v>
      </c>
    </row>
    <row r="455" spans="1:7" ht="15.75">
      <c r="A455" s="20" t="s">
        <v>53</v>
      </c>
      <c r="B455" s="21" t="s">
        <v>324</v>
      </c>
      <c r="C455" s="31" t="s">
        <v>272</v>
      </c>
      <c r="D455" s="31" t="s">
        <v>268</v>
      </c>
      <c r="E455" s="31"/>
      <c r="F455" s="44">
        <f t="shared" si="41"/>
        <v>193000</v>
      </c>
      <c r="G455" s="44">
        <f t="shared" si="41"/>
        <v>0</v>
      </c>
    </row>
    <row r="456" spans="1:7" ht="63">
      <c r="A456" s="20" t="s">
        <v>125</v>
      </c>
      <c r="B456" s="21" t="s">
        <v>324</v>
      </c>
      <c r="C456" s="31" t="s">
        <v>272</v>
      </c>
      <c r="D456" s="31" t="s">
        <v>268</v>
      </c>
      <c r="E456" s="31" t="s">
        <v>269</v>
      </c>
      <c r="F456" s="44">
        <v>193000</v>
      </c>
      <c r="G456" s="44">
        <v>0</v>
      </c>
    </row>
    <row r="457" spans="1:11" s="11" customFormat="1" ht="31.5">
      <c r="A457" s="19" t="s">
        <v>93</v>
      </c>
      <c r="B457" s="18" t="s">
        <v>91</v>
      </c>
      <c r="C457" s="30"/>
      <c r="D457" s="30"/>
      <c r="E457" s="30"/>
      <c r="F457" s="43">
        <f>F458+F463+F471</f>
        <v>26551332.540000003</v>
      </c>
      <c r="G457" s="43">
        <f>G458+G463+G471</f>
        <v>1865800</v>
      </c>
      <c r="K457" s="78"/>
    </row>
    <row r="458" spans="1:11" s="11" customFormat="1" ht="47.25">
      <c r="A458" s="19" t="s">
        <v>94</v>
      </c>
      <c r="B458" s="18" t="s">
        <v>92</v>
      </c>
      <c r="C458" s="30"/>
      <c r="D458" s="30"/>
      <c r="E458" s="30"/>
      <c r="F458" s="43">
        <f aca="true" t="shared" si="42" ref="F458:G461">F459</f>
        <v>193750</v>
      </c>
      <c r="G458" s="43">
        <f t="shared" si="42"/>
        <v>0</v>
      </c>
      <c r="K458" s="78"/>
    </row>
    <row r="459" spans="1:7" ht="31.5">
      <c r="A459" s="20" t="s">
        <v>162</v>
      </c>
      <c r="B459" s="21" t="s">
        <v>95</v>
      </c>
      <c r="C459" s="31"/>
      <c r="D459" s="31"/>
      <c r="E459" s="31"/>
      <c r="F459" s="44">
        <f>F460</f>
        <v>193750</v>
      </c>
      <c r="G459" s="44">
        <f>G460</f>
        <v>0</v>
      </c>
    </row>
    <row r="460" spans="1:7" ht="31.5">
      <c r="A460" s="22" t="s">
        <v>260</v>
      </c>
      <c r="B460" s="21" t="s">
        <v>95</v>
      </c>
      <c r="C460" s="31" t="s">
        <v>261</v>
      </c>
      <c r="D460" s="31"/>
      <c r="E460" s="31"/>
      <c r="F460" s="44">
        <f t="shared" si="42"/>
        <v>193750</v>
      </c>
      <c r="G460" s="44">
        <f t="shared" si="42"/>
        <v>0</v>
      </c>
    </row>
    <row r="461" spans="1:7" ht="15.75">
      <c r="A461" s="20" t="s">
        <v>57</v>
      </c>
      <c r="B461" s="21" t="s">
        <v>95</v>
      </c>
      <c r="C461" s="31" t="s">
        <v>261</v>
      </c>
      <c r="D461" s="31" t="s">
        <v>269</v>
      </c>
      <c r="E461" s="31"/>
      <c r="F461" s="44">
        <f t="shared" si="42"/>
        <v>193750</v>
      </c>
      <c r="G461" s="44">
        <f t="shared" si="42"/>
        <v>0</v>
      </c>
    </row>
    <row r="462" spans="1:7" ht="15.75">
      <c r="A462" s="20" t="s">
        <v>110</v>
      </c>
      <c r="B462" s="21" t="s">
        <v>95</v>
      </c>
      <c r="C462" s="31" t="s">
        <v>261</v>
      </c>
      <c r="D462" s="31" t="s">
        <v>269</v>
      </c>
      <c r="E462" s="31" t="s">
        <v>111</v>
      </c>
      <c r="F462" s="44">
        <f>550000-300000-45000-11250</f>
        <v>193750</v>
      </c>
      <c r="G462" s="44">
        <v>0</v>
      </c>
    </row>
    <row r="463" spans="1:11" s="11" customFormat="1" ht="31.5">
      <c r="A463" s="19" t="s">
        <v>97</v>
      </c>
      <c r="B463" s="18" t="s">
        <v>96</v>
      </c>
      <c r="C463" s="30"/>
      <c r="D463" s="30"/>
      <c r="E463" s="30"/>
      <c r="F463" s="43">
        <f>F464</f>
        <v>876697</v>
      </c>
      <c r="G463" s="43">
        <f>G464</f>
        <v>0</v>
      </c>
      <c r="K463" s="78"/>
    </row>
    <row r="464" spans="1:7" ht="31.5">
      <c r="A464" s="20" t="s">
        <v>162</v>
      </c>
      <c r="B464" s="21" t="s">
        <v>98</v>
      </c>
      <c r="C464" s="31"/>
      <c r="D464" s="31"/>
      <c r="E464" s="31"/>
      <c r="F464" s="44">
        <f>F465+F468</f>
        <v>876697</v>
      </c>
      <c r="G464" s="44">
        <f>G472</f>
        <v>0</v>
      </c>
    </row>
    <row r="465" spans="1:7" ht="78.75">
      <c r="A465" s="20" t="s">
        <v>271</v>
      </c>
      <c r="B465" s="21" t="s">
        <v>98</v>
      </c>
      <c r="C465" s="31" t="s">
        <v>272</v>
      </c>
      <c r="D465" s="31"/>
      <c r="E465" s="31"/>
      <c r="F465" s="44">
        <f>F466</f>
        <v>423197</v>
      </c>
      <c r="G465" s="44">
        <f>G466</f>
        <v>0</v>
      </c>
    </row>
    <row r="466" spans="1:7" ht="15.75">
      <c r="A466" s="20" t="s">
        <v>53</v>
      </c>
      <c r="B466" s="21" t="s">
        <v>98</v>
      </c>
      <c r="C466" s="31" t="s">
        <v>272</v>
      </c>
      <c r="D466" s="31" t="s">
        <v>268</v>
      </c>
      <c r="E466" s="31"/>
      <c r="F466" s="44">
        <f>F467</f>
        <v>423197</v>
      </c>
      <c r="G466" s="44">
        <f>G467</f>
        <v>0</v>
      </c>
    </row>
    <row r="467" spans="1:7" ht="15.75">
      <c r="A467" s="20" t="s">
        <v>54</v>
      </c>
      <c r="B467" s="21" t="s">
        <v>98</v>
      </c>
      <c r="C467" s="31" t="s">
        <v>272</v>
      </c>
      <c r="D467" s="31" t="s">
        <v>268</v>
      </c>
      <c r="E467" s="31" t="s">
        <v>55</v>
      </c>
      <c r="F467" s="44">
        <f>83000+65000+280000+16000+6000+1900+15000+22800-65503-1000</f>
        <v>423197</v>
      </c>
      <c r="G467" s="44">
        <v>0</v>
      </c>
    </row>
    <row r="468" spans="1:7" ht="31.5">
      <c r="A468" s="22" t="s">
        <v>260</v>
      </c>
      <c r="B468" s="21" t="s">
        <v>98</v>
      </c>
      <c r="C468" s="31" t="s">
        <v>261</v>
      </c>
      <c r="D468" s="31"/>
      <c r="E468" s="31"/>
      <c r="F468" s="44">
        <f>F469</f>
        <v>453500</v>
      </c>
      <c r="G468" s="44">
        <f>G469</f>
        <v>0</v>
      </c>
    </row>
    <row r="469" spans="1:7" ht="15.75">
      <c r="A469" s="20" t="s">
        <v>53</v>
      </c>
      <c r="B469" s="21" t="s">
        <v>98</v>
      </c>
      <c r="C469" s="31" t="s">
        <v>261</v>
      </c>
      <c r="D469" s="31" t="s">
        <v>268</v>
      </c>
      <c r="E469" s="31"/>
      <c r="F469" s="44">
        <f>F470</f>
        <v>453500</v>
      </c>
      <c r="G469" s="44">
        <f>G470</f>
        <v>0</v>
      </c>
    </row>
    <row r="470" spans="1:8" ht="15.75">
      <c r="A470" s="20" t="s">
        <v>54</v>
      </c>
      <c r="B470" s="21" t="s">
        <v>98</v>
      </c>
      <c r="C470" s="31" t="s">
        <v>261</v>
      </c>
      <c r="D470" s="31" t="s">
        <v>268</v>
      </c>
      <c r="E470" s="31" t="s">
        <v>55</v>
      </c>
      <c r="F470" s="44">
        <f>245000+78500+70000+81000-16000-6000-50000+50000+1000</f>
        <v>453500</v>
      </c>
      <c r="G470" s="44">
        <v>0</v>
      </c>
      <c r="H470">
        <v>12300</v>
      </c>
    </row>
    <row r="471" spans="1:11" s="11" customFormat="1" ht="31.5">
      <c r="A471" s="19" t="s">
        <v>296</v>
      </c>
      <c r="B471" s="18" t="s">
        <v>99</v>
      </c>
      <c r="C471" s="30"/>
      <c r="D471" s="30"/>
      <c r="E471" s="30"/>
      <c r="F471" s="43">
        <f>F472+F476+F480+F491+F502+F506+F510+F514+F518+F495+F487+F484</f>
        <v>25480885.540000003</v>
      </c>
      <c r="G471" s="43">
        <f>G472+G476+G480+G491+G502+G506+G510+G514+G518+G495+G487</f>
        <v>1865800</v>
      </c>
      <c r="K471" s="78"/>
    </row>
    <row r="472" spans="1:7" ht="31.5">
      <c r="A472" s="20" t="s">
        <v>101</v>
      </c>
      <c r="B472" s="21" t="s">
        <v>100</v>
      </c>
      <c r="C472" s="31"/>
      <c r="D472" s="31"/>
      <c r="E472" s="31"/>
      <c r="F472" s="44">
        <f>F473</f>
        <v>1924429.26</v>
      </c>
      <c r="G472" s="44">
        <f>G473</f>
        <v>0</v>
      </c>
    </row>
    <row r="473" spans="1:7" ht="78.75">
      <c r="A473" s="20" t="s">
        <v>271</v>
      </c>
      <c r="B473" s="21" t="s">
        <v>100</v>
      </c>
      <c r="C473" s="31" t="s">
        <v>272</v>
      </c>
      <c r="D473" s="31"/>
      <c r="E473" s="31"/>
      <c r="F473" s="44">
        <f>F474</f>
        <v>1924429.26</v>
      </c>
      <c r="G473" s="44">
        <v>0</v>
      </c>
    </row>
    <row r="474" spans="1:7" ht="15.75">
      <c r="A474" s="20" t="s">
        <v>53</v>
      </c>
      <c r="B474" s="21" t="s">
        <v>100</v>
      </c>
      <c r="C474" s="31" t="s">
        <v>272</v>
      </c>
      <c r="D474" s="31" t="s">
        <v>268</v>
      </c>
      <c r="E474" s="31"/>
      <c r="F474" s="44">
        <f>F475</f>
        <v>1924429.26</v>
      </c>
      <c r="G474" s="44">
        <f>G475</f>
        <v>0</v>
      </c>
    </row>
    <row r="475" spans="1:7" ht="15.75">
      <c r="A475" s="20" t="s">
        <v>54</v>
      </c>
      <c r="B475" s="21" t="s">
        <v>100</v>
      </c>
      <c r="C475" s="31" t="s">
        <v>272</v>
      </c>
      <c r="D475" s="31" t="s">
        <v>268</v>
      </c>
      <c r="E475" s="31" t="s">
        <v>269</v>
      </c>
      <c r="F475" s="44">
        <f>1725000-15000+50000+62000+102429.26</f>
        <v>1924429.26</v>
      </c>
      <c r="G475" s="44">
        <v>0</v>
      </c>
    </row>
    <row r="476" spans="1:7" ht="31.5">
      <c r="A476" s="20" t="s">
        <v>127</v>
      </c>
      <c r="B476" s="21" t="s">
        <v>103</v>
      </c>
      <c r="C476" s="31"/>
      <c r="D476" s="31"/>
      <c r="E476" s="31"/>
      <c r="F476" s="44">
        <f>F477</f>
        <v>17985711.41</v>
      </c>
      <c r="G476" s="44">
        <v>0</v>
      </c>
    </row>
    <row r="477" spans="1:7" ht="78.75">
      <c r="A477" s="20" t="s">
        <v>271</v>
      </c>
      <c r="B477" s="21" t="s">
        <v>103</v>
      </c>
      <c r="C477" s="31" t="s">
        <v>272</v>
      </c>
      <c r="D477" s="31"/>
      <c r="E477" s="31"/>
      <c r="F477" s="44">
        <f>F478</f>
        <v>17985711.41</v>
      </c>
      <c r="G477" s="44">
        <f>G478</f>
        <v>0</v>
      </c>
    </row>
    <row r="478" spans="1:7" ht="15.75">
      <c r="A478" s="20" t="s">
        <v>53</v>
      </c>
      <c r="B478" s="21" t="s">
        <v>103</v>
      </c>
      <c r="C478" s="31" t="s">
        <v>272</v>
      </c>
      <c r="D478" s="31" t="s">
        <v>268</v>
      </c>
      <c r="E478" s="31"/>
      <c r="F478" s="44">
        <f>F479</f>
        <v>17985711.41</v>
      </c>
      <c r="G478" s="44">
        <f>G479</f>
        <v>0</v>
      </c>
    </row>
    <row r="479" spans="1:7" ht="63">
      <c r="A479" s="20" t="s">
        <v>125</v>
      </c>
      <c r="B479" s="21" t="s">
        <v>103</v>
      </c>
      <c r="C479" s="31" t="s">
        <v>272</v>
      </c>
      <c r="D479" s="31" t="s">
        <v>268</v>
      </c>
      <c r="E479" s="31" t="s">
        <v>269</v>
      </c>
      <c r="F479" s="44">
        <f>19191240-399930-65000-62000-678598.59</f>
        <v>17985711.41</v>
      </c>
      <c r="G479" s="44">
        <v>0</v>
      </c>
    </row>
    <row r="480" spans="1:7" ht="31.5">
      <c r="A480" s="20" t="s">
        <v>90</v>
      </c>
      <c r="B480" s="21" t="s">
        <v>104</v>
      </c>
      <c r="C480" s="31"/>
      <c r="D480" s="31"/>
      <c r="E480" s="31"/>
      <c r="F480" s="44">
        <f>F481</f>
        <v>79000</v>
      </c>
      <c r="G480" s="44">
        <v>0</v>
      </c>
    </row>
    <row r="481" spans="1:7" ht="31.5">
      <c r="A481" s="22" t="s">
        <v>260</v>
      </c>
      <c r="B481" s="21" t="s">
        <v>104</v>
      </c>
      <c r="C481" s="31" t="s">
        <v>261</v>
      </c>
      <c r="D481" s="31"/>
      <c r="E481" s="31"/>
      <c r="F481" s="44">
        <f>F482</f>
        <v>79000</v>
      </c>
      <c r="G481" s="44">
        <f>G482</f>
        <v>0</v>
      </c>
    </row>
    <row r="482" spans="1:7" ht="15.75">
      <c r="A482" s="20" t="s">
        <v>53</v>
      </c>
      <c r="B482" s="21" t="s">
        <v>104</v>
      </c>
      <c r="C482" s="31" t="s">
        <v>261</v>
      </c>
      <c r="D482" s="31" t="s">
        <v>268</v>
      </c>
      <c r="E482" s="31"/>
      <c r="F482" s="44">
        <f>F483</f>
        <v>79000</v>
      </c>
      <c r="G482" s="44">
        <f>G483</f>
        <v>0</v>
      </c>
    </row>
    <row r="483" spans="1:7" ht="63">
      <c r="A483" s="20" t="s">
        <v>125</v>
      </c>
      <c r="B483" s="21" t="s">
        <v>104</v>
      </c>
      <c r="C483" s="31" t="s">
        <v>261</v>
      </c>
      <c r="D483" s="31" t="s">
        <v>268</v>
      </c>
      <c r="E483" s="31" t="s">
        <v>269</v>
      </c>
      <c r="F483" s="44">
        <v>79000</v>
      </c>
      <c r="G483" s="44">
        <v>0</v>
      </c>
    </row>
    <row r="484" spans="1:11" s="74" customFormat="1" ht="52.5" customHeight="1">
      <c r="A484" s="20" t="s">
        <v>353</v>
      </c>
      <c r="B484" s="23" t="s">
        <v>352</v>
      </c>
      <c r="C484" s="31"/>
      <c r="D484" s="31"/>
      <c r="E484" s="31"/>
      <c r="F484" s="44">
        <f>F485</f>
        <v>675258.95</v>
      </c>
      <c r="G484" s="44">
        <f>G485</f>
        <v>0</v>
      </c>
      <c r="K484" s="77"/>
    </row>
    <row r="485" spans="1:11" s="74" customFormat="1" ht="78.75">
      <c r="A485" s="20" t="s">
        <v>271</v>
      </c>
      <c r="B485" s="23" t="s">
        <v>352</v>
      </c>
      <c r="C485" s="32" t="s">
        <v>272</v>
      </c>
      <c r="D485" s="31"/>
      <c r="E485" s="31"/>
      <c r="F485" s="44">
        <f>F486</f>
        <v>675258.95</v>
      </c>
      <c r="G485" s="44">
        <f>G486</f>
        <v>0</v>
      </c>
      <c r="K485" s="77"/>
    </row>
    <row r="486" spans="1:11" s="74" customFormat="1" ht="63">
      <c r="A486" s="20" t="s">
        <v>125</v>
      </c>
      <c r="B486" s="23" t="s">
        <v>352</v>
      </c>
      <c r="C486" s="32" t="s">
        <v>272</v>
      </c>
      <c r="D486" s="32" t="s">
        <v>268</v>
      </c>
      <c r="E486" s="32" t="s">
        <v>269</v>
      </c>
      <c r="F486" s="44">
        <v>675258.95</v>
      </c>
      <c r="G486" s="44">
        <v>0</v>
      </c>
      <c r="K486" s="77"/>
    </row>
    <row r="487" spans="1:7" ht="63">
      <c r="A487" s="25" t="s">
        <v>323</v>
      </c>
      <c r="B487" s="21" t="s">
        <v>325</v>
      </c>
      <c r="C487" s="31"/>
      <c r="D487" s="31"/>
      <c r="E487" s="31"/>
      <c r="F487" s="44">
        <f>F488</f>
        <v>414127.92</v>
      </c>
      <c r="G487" s="44">
        <f>G488</f>
        <v>0</v>
      </c>
    </row>
    <row r="488" spans="1:7" ht="78.75">
      <c r="A488" s="25" t="s">
        <v>271</v>
      </c>
      <c r="B488" s="21" t="s">
        <v>325</v>
      </c>
      <c r="C488" s="31" t="s">
        <v>272</v>
      </c>
      <c r="D488" s="31"/>
      <c r="E488" s="31"/>
      <c r="F488" s="44">
        <f>F490</f>
        <v>414127.92</v>
      </c>
      <c r="G488" s="44">
        <f>G490</f>
        <v>0</v>
      </c>
    </row>
    <row r="489" spans="1:7" ht="15.75">
      <c r="A489" s="20" t="s">
        <v>53</v>
      </c>
      <c r="B489" s="21" t="s">
        <v>325</v>
      </c>
      <c r="C489" s="31" t="s">
        <v>272</v>
      </c>
      <c r="D489" s="31" t="s">
        <v>268</v>
      </c>
      <c r="E489" s="31"/>
      <c r="F489" s="44"/>
      <c r="G489" s="44"/>
    </row>
    <row r="490" spans="1:7" ht="63">
      <c r="A490" s="20" t="s">
        <v>125</v>
      </c>
      <c r="B490" s="21" t="s">
        <v>325</v>
      </c>
      <c r="C490" s="31" t="s">
        <v>272</v>
      </c>
      <c r="D490" s="31" t="s">
        <v>268</v>
      </c>
      <c r="E490" s="31" t="s">
        <v>269</v>
      </c>
      <c r="F490" s="44">
        <f>399930+15000-802.08</f>
        <v>414127.92</v>
      </c>
      <c r="G490" s="44">
        <v>0</v>
      </c>
    </row>
    <row r="491" spans="1:7" ht="47.25">
      <c r="A491" s="20" t="s">
        <v>185</v>
      </c>
      <c r="B491" s="21" t="s">
        <v>102</v>
      </c>
      <c r="C491" s="31"/>
      <c r="D491" s="31"/>
      <c r="E491" s="31"/>
      <c r="F491" s="44">
        <f>F492</f>
        <v>2100000</v>
      </c>
      <c r="G491" s="44">
        <v>0</v>
      </c>
    </row>
    <row r="492" spans="1:7" ht="31.5">
      <c r="A492" s="20" t="s">
        <v>251</v>
      </c>
      <c r="B492" s="21" t="s">
        <v>102</v>
      </c>
      <c r="C492" s="31" t="s">
        <v>252</v>
      </c>
      <c r="D492" s="31"/>
      <c r="E492" s="31"/>
      <c r="F492" s="44">
        <f>F493</f>
        <v>2100000</v>
      </c>
      <c r="G492" s="44">
        <f>G493</f>
        <v>0</v>
      </c>
    </row>
    <row r="493" spans="1:7" ht="15.75">
      <c r="A493" s="20" t="s">
        <v>59</v>
      </c>
      <c r="B493" s="21" t="s">
        <v>102</v>
      </c>
      <c r="C493" s="31" t="s">
        <v>252</v>
      </c>
      <c r="D493" s="31" t="s">
        <v>275</v>
      </c>
      <c r="E493" s="31"/>
      <c r="F493" s="44">
        <f>F494</f>
        <v>2100000</v>
      </c>
      <c r="G493" s="44">
        <f>G494</f>
        <v>0</v>
      </c>
    </row>
    <row r="494" spans="1:7" ht="31.5">
      <c r="A494" s="20" t="s">
        <v>60</v>
      </c>
      <c r="B494" s="21" t="s">
        <v>102</v>
      </c>
      <c r="C494" s="31" t="s">
        <v>252</v>
      </c>
      <c r="D494" s="31" t="s">
        <v>275</v>
      </c>
      <c r="E494" s="31" t="s">
        <v>275</v>
      </c>
      <c r="F494" s="44">
        <v>2100000</v>
      </c>
      <c r="G494" s="44">
        <v>0</v>
      </c>
    </row>
    <row r="495" spans="1:7" ht="31.5">
      <c r="A495" s="20" t="s">
        <v>162</v>
      </c>
      <c r="B495" s="21" t="s">
        <v>284</v>
      </c>
      <c r="C495" s="31"/>
      <c r="D495" s="31"/>
      <c r="E495" s="31"/>
      <c r="F495" s="44">
        <f>F496+F499</f>
        <v>436558</v>
      </c>
      <c r="G495" s="44">
        <f>G496+G499</f>
        <v>0</v>
      </c>
    </row>
    <row r="496" spans="1:7" ht="31.5">
      <c r="A496" s="22" t="s">
        <v>260</v>
      </c>
      <c r="B496" s="21" t="s">
        <v>284</v>
      </c>
      <c r="C496" s="31" t="s">
        <v>261</v>
      </c>
      <c r="D496" s="31"/>
      <c r="E496" s="31"/>
      <c r="F496" s="44">
        <f>F497</f>
        <v>395500</v>
      </c>
      <c r="G496" s="44">
        <v>0</v>
      </c>
    </row>
    <row r="497" spans="1:7" ht="15.75">
      <c r="A497" s="22" t="s">
        <v>53</v>
      </c>
      <c r="B497" s="21" t="s">
        <v>284</v>
      </c>
      <c r="C497" s="31" t="s">
        <v>261</v>
      </c>
      <c r="D497" s="31" t="s">
        <v>268</v>
      </c>
      <c r="E497" s="31"/>
      <c r="F497" s="44">
        <f>F498</f>
        <v>395500</v>
      </c>
      <c r="G497" s="44">
        <f>G498</f>
        <v>0</v>
      </c>
    </row>
    <row r="498" spans="1:7" ht="15.75">
      <c r="A498" s="20" t="s">
        <v>54</v>
      </c>
      <c r="B498" s="21" t="s">
        <v>284</v>
      </c>
      <c r="C498" s="31" t="s">
        <v>261</v>
      </c>
      <c r="D498" s="31" t="s">
        <v>268</v>
      </c>
      <c r="E498" s="31" t="s">
        <v>55</v>
      </c>
      <c r="F498" s="44">
        <f>374500-5000+30000-4000</f>
        <v>395500</v>
      </c>
      <c r="G498" s="44">
        <v>0</v>
      </c>
    </row>
    <row r="499" spans="1:11" s="74" customFormat="1" ht="15.75">
      <c r="A499" s="20" t="s">
        <v>273</v>
      </c>
      <c r="B499" s="23" t="s">
        <v>284</v>
      </c>
      <c r="C499" s="32" t="s">
        <v>274</v>
      </c>
      <c r="D499" s="31"/>
      <c r="E499" s="31"/>
      <c r="F499" s="44">
        <f>F500</f>
        <v>41058</v>
      </c>
      <c r="G499" s="44">
        <f>G500</f>
        <v>0</v>
      </c>
      <c r="K499" s="77"/>
    </row>
    <row r="500" spans="1:11" s="74" customFormat="1" ht="15.75">
      <c r="A500" s="22" t="s">
        <v>53</v>
      </c>
      <c r="B500" s="23" t="s">
        <v>284</v>
      </c>
      <c r="C500" s="32" t="s">
        <v>274</v>
      </c>
      <c r="D500" s="32" t="s">
        <v>268</v>
      </c>
      <c r="E500" s="31"/>
      <c r="F500" s="44">
        <f>F501</f>
        <v>41058</v>
      </c>
      <c r="G500" s="44">
        <f>G501</f>
        <v>0</v>
      </c>
      <c r="K500" s="77"/>
    </row>
    <row r="501" spans="1:11" s="74" customFormat="1" ht="15.75">
      <c r="A501" s="20" t="s">
        <v>54</v>
      </c>
      <c r="B501" s="23" t="s">
        <v>284</v>
      </c>
      <c r="C501" s="32" t="s">
        <v>274</v>
      </c>
      <c r="D501" s="32" t="s">
        <v>268</v>
      </c>
      <c r="E501" s="32" t="s">
        <v>55</v>
      </c>
      <c r="F501" s="44">
        <f>37058+4000</f>
        <v>41058</v>
      </c>
      <c r="G501" s="44">
        <v>0</v>
      </c>
      <c r="K501" s="77"/>
    </row>
    <row r="502" spans="1:7" ht="39.75" customHeight="1">
      <c r="A502" s="20" t="s">
        <v>329</v>
      </c>
      <c r="B502" s="21" t="s">
        <v>105</v>
      </c>
      <c r="C502" s="31"/>
      <c r="D502" s="31"/>
      <c r="E502" s="31"/>
      <c r="F502" s="44">
        <f aca="true" t="shared" si="43" ref="F502:G504">F503</f>
        <v>281800</v>
      </c>
      <c r="G502" s="44">
        <f t="shared" si="43"/>
        <v>281800</v>
      </c>
    </row>
    <row r="503" spans="1:7" ht="78.75">
      <c r="A503" s="20" t="s">
        <v>271</v>
      </c>
      <c r="B503" s="21" t="s">
        <v>105</v>
      </c>
      <c r="C503" s="31" t="s">
        <v>272</v>
      </c>
      <c r="D503" s="31"/>
      <c r="E503" s="31"/>
      <c r="F503" s="44">
        <f t="shared" si="43"/>
        <v>281800</v>
      </c>
      <c r="G503" s="44">
        <f t="shared" si="43"/>
        <v>281800</v>
      </c>
    </row>
    <row r="504" spans="1:7" ht="15.75">
      <c r="A504" s="20" t="s">
        <v>240</v>
      </c>
      <c r="B504" s="21" t="s">
        <v>105</v>
      </c>
      <c r="C504" s="31" t="s">
        <v>272</v>
      </c>
      <c r="D504" s="31" t="s">
        <v>257</v>
      </c>
      <c r="E504" s="31"/>
      <c r="F504" s="44">
        <f t="shared" si="43"/>
        <v>281800</v>
      </c>
      <c r="G504" s="44">
        <f t="shared" si="43"/>
        <v>281800</v>
      </c>
    </row>
    <row r="505" spans="1:7" ht="15.75">
      <c r="A505" s="20" t="s">
        <v>241</v>
      </c>
      <c r="B505" s="21" t="s">
        <v>105</v>
      </c>
      <c r="C505" s="31" t="s">
        <v>272</v>
      </c>
      <c r="D505" s="31" t="s">
        <v>257</v>
      </c>
      <c r="E505" s="31" t="s">
        <v>258</v>
      </c>
      <c r="F505" s="44">
        <f>275600-14000-7400+27600</f>
        <v>281800</v>
      </c>
      <c r="G505" s="44">
        <f>F505</f>
        <v>281800</v>
      </c>
    </row>
    <row r="506" spans="1:7" ht="31.5">
      <c r="A506" s="20" t="s">
        <v>331</v>
      </c>
      <c r="B506" s="21" t="s">
        <v>298</v>
      </c>
      <c r="C506" s="31"/>
      <c r="D506" s="31"/>
      <c r="E506" s="31"/>
      <c r="F506" s="44">
        <f aca="true" t="shared" si="44" ref="F506:G508">F507</f>
        <v>622000</v>
      </c>
      <c r="G506" s="44">
        <f t="shared" si="44"/>
        <v>622000</v>
      </c>
    </row>
    <row r="507" spans="1:7" ht="78.75">
      <c r="A507" s="20" t="s">
        <v>271</v>
      </c>
      <c r="B507" s="21" t="s">
        <v>298</v>
      </c>
      <c r="C507" s="31" t="s">
        <v>272</v>
      </c>
      <c r="D507" s="31"/>
      <c r="E507" s="31"/>
      <c r="F507" s="44">
        <f t="shared" si="44"/>
        <v>622000</v>
      </c>
      <c r="G507" s="44">
        <f t="shared" si="44"/>
        <v>622000</v>
      </c>
    </row>
    <row r="508" spans="1:7" ht="31.5">
      <c r="A508" s="20" t="s">
        <v>58</v>
      </c>
      <c r="B508" s="21" t="s">
        <v>298</v>
      </c>
      <c r="C508" s="31" t="s">
        <v>272</v>
      </c>
      <c r="D508" s="31" t="s">
        <v>258</v>
      </c>
      <c r="E508" s="31"/>
      <c r="F508" s="44">
        <f t="shared" si="44"/>
        <v>622000</v>
      </c>
      <c r="G508" s="44">
        <f t="shared" si="44"/>
        <v>622000</v>
      </c>
    </row>
    <row r="509" spans="1:7" ht="15.75">
      <c r="A509" s="20" t="s">
        <v>235</v>
      </c>
      <c r="B509" s="21" t="s">
        <v>298</v>
      </c>
      <c r="C509" s="31" t="s">
        <v>272</v>
      </c>
      <c r="D509" s="31" t="s">
        <v>258</v>
      </c>
      <c r="E509" s="31" t="s">
        <v>269</v>
      </c>
      <c r="F509" s="44">
        <f>635940+10700-22322.48-1800-1717.52+1200</f>
        <v>622000</v>
      </c>
      <c r="G509" s="44">
        <f>F509</f>
        <v>622000</v>
      </c>
    </row>
    <row r="510" spans="1:7" ht="126">
      <c r="A510" s="20" t="s">
        <v>236</v>
      </c>
      <c r="B510" s="21" t="s">
        <v>106</v>
      </c>
      <c r="C510" s="31"/>
      <c r="D510" s="31"/>
      <c r="E510" s="31"/>
      <c r="F510" s="44">
        <f aca="true" t="shared" si="45" ref="F510:G512">F511</f>
        <v>6000</v>
      </c>
      <c r="G510" s="44">
        <f t="shared" si="45"/>
        <v>6000</v>
      </c>
    </row>
    <row r="511" spans="1:7" ht="31.5">
      <c r="A511" s="22" t="s">
        <v>260</v>
      </c>
      <c r="B511" s="21" t="s">
        <v>106</v>
      </c>
      <c r="C511" s="31" t="s">
        <v>261</v>
      </c>
      <c r="D511" s="31"/>
      <c r="E511" s="31"/>
      <c r="F511" s="44">
        <f t="shared" si="45"/>
        <v>6000</v>
      </c>
      <c r="G511" s="44">
        <f t="shared" si="45"/>
        <v>6000</v>
      </c>
    </row>
    <row r="512" spans="1:7" ht="15.75">
      <c r="A512" s="20" t="s">
        <v>53</v>
      </c>
      <c r="B512" s="21" t="s">
        <v>106</v>
      </c>
      <c r="C512" s="31" t="s">
        <v>261</v>
      </c>
      <c r="D512" s="31" t="s">
        <v>268</v>
      </c>
      <c r="E512" s="31"/>
      <c r="F512" s="44">
        <f t="shared" si="45"/>
        <v>6000</v>
      </c>
      <c r="G512" s="44">
        <f t="shared" si="45"/>
        <v>6000</v>
      </c>
    </row>
    <row r="513" spans="1:7" ht="15.75">
      <c r="A513" s="20" t="s">
        <v>54</v>
      </c>
      <c r="B513" s="21" t="s">
        <v>106</v>
      </c>
      <c r="C513" s="31" t="s">
        <v>261</v>
      </c>
      <c r="D513" s="31" t="s">
        <v>268</v>
      </c>
      <c r="E513" s="31" t="s">
        <v>55</v>
      </c>
      <c r="F513" s="44">
        <v>6000</v>
      </c>
      <c r="G513" s="44">
        <v>6000</v>
      </c>
    </row>
    <row r="514" spans="1:7" ht="31.5">
      <c r="A514" s="20" t="s">
        <v>237</v>
      </c>
      <c r="B514" s="21" t="s">
        <v>107</v>
      </c>
      <c r="C514" s="31"/>
      <c r="D514" s="31"/>
      <c r="E514" s="31"/>
      <c r="F514" s="44">
        <f aca="true" t="shared" si="46" ref="F514:G516">F515</f>
        <v>75000</v>
      </c>
      <c r="G514" s="44">
        <f t="shared" si="46"/>
        <v>75000</v>
      </c>
    </row>
    <row r="515" spans="1:7" ht="78.75">
      <c r="A515" s="20" t="s">
        <v>271</v>
      </c>
      <c r="B515" s="21" t="s">
        <v>107</v>
      </c>
      <c r="C515" s="31" t="s">
        <v>272</v>
      </c>
      <c r="D515" s="31"/>
      <c r="E515" s="31"/>
      <c r="F515" s="44">
        <f t="shared" si="46"/>
        <v>75000</v>
      </c>
      <c r="G515" s="44">
        <f t="shared" si="46"/>
        <v>75000</v>
      </c>
    </row>
    <row r="516" spans="1:7" ht="15.75">
      <c r="A516" s="20" t="s">
        <v>53</v>
      </c>
      <c r="B516" s="21" t="s">
        <v>107</v>
      </c>
      <c r="C516" s="31" t="s">
        <v>272</v>
      </c>
      <c r="D516" s="31" t="s">
        <v>268</v>
      </c>
      <c r="E516" s="31"/>
      <c r="F516" s="44">
        <f t="shared" si="46"/>
        <v>75000</v>
      </c>
      <c r="G516" s="44">
        <f t="shared" si="46"/>
        <v>75000</v>
      </c>
    </row>
    <row r="517" spans="1:7" ht="15.75">
      <c r="A517" s="20" t="s">
        <v>54</v>
      </c>
      <c r="B517" s="21" t="s">
        <v>107</v>
      </c>
      <c r="C517" s="31" t="s">
        <v>272</v>
      </c>
      <c r="D517" s="31" t="s">
        <v>268</v>
      </c>
      <c r="E517" s="31" t="s">
        <v>55</v>
      </c>
      <c r="F517" s="44">
        <v>75000</v>
      </c>
      <c r="G517" s="44">
        <v>75000</v>
      </c>
    </row>
    <row r="518" spans="1:7" ht="47.25">
      <c r="A518" s="20" t="s">
        <v>115</v>
      </c>
      <c r="B518" s="21" t="s">
        <v>108</v>
      </c>
      <c r="C518" s="31"/>
      <c r="D518" s="31"/>
      <c r="E518" s="31"/>
      <c r="F518" s="44">
        <f>F519+F522</f>
        <v>881000</v>
      </c>
      <c r="G518" s="44">
        <f>G519+G522</f>
        <v>881000</v>
      </c>
    </row>
    <row r="519" spans="1:7" ht="78.75">
      <c r="A519" s="20" t="s">
        <v>271</v>
      </c>
      <c r="B519" s="21" t="s">
        <v>108</v>
      </c>
      <c r="C519" s="31" t="s">
        <v>272</v>
      </c>
      <c r="D519" s="31"/>
      <c r="E519" s="31"/>
      <c r="F519" s="44">
        <f>F520</f>
        <v>793376</v>
      </c>
      <c r="G519" s="44">
        <f>G520</f>
        <v>793376</v>
      </c>
    </row>
    <row r="520" spans="1:7" ht="15.75">
      <c r="A520" s="20" t="s">
        <v>264</v>
      </c>
      <c r="B520" s="21" t="s">
        <v>108</v>
      </c>
      <c r="C520" s="31" t="s">
        <v>272</v>
      </c>
      <c r="D520" s="31" t="s">
        <v>265</v>
      </c>
      <c r="E520" s="31"/>
      <c r="F520" s="44">
        <f>F521</f>
        <v>793376</v>
      </c>
      <c r="G520" s="44">
        <f>G521</f>
        <v>793376</v>
      </c>
    </row>
    <row r="521" spans="1:7" ht="15.75">
      <c r="A521" s="20" t="s">
        <v>1</v>
      </c>
      <c r="B521" s="21" t="s">
        <v>108</v>
      </c>
      <c r="C521" s="31" t="s">
        <v>272</v>
      </c>
      <c r="D521" s="31" t="s">
        <v>265</v>
      </c>
      <c r="E521" s="31" t="s">
        <v>269</v>
      </c>
      <c r="F521" s="44">
        <f>809400-16024</f>
        <v>793376</v>
      </c>
      <c r="G521" s="44">
        <f>F521</f>
        <v>793376</v>
      </c>
    </row>
    <row r="522" spans="1:7" ht="31.5">
      <c r="A522" s="22" t="s">
        <v>260</v>
      </c>
      <c r="B522" s="21" t="s">
        <v>108</v>
      </c>
      <c r="C522" s="31" t="s">
        <v>261</v>
      </c>
      <c r="D522" s="31"/>
      <c r="E522" s="31"/>
      <c r="F522" s="44">
        <f>F523</f>
        <v>87624</v>
      </c>
      <c r="G522" s="44">
        <f>G523</f>
        <v>87624</v>
      </c>
    </row>
    <row r="523" spans="1:7" ht="15.75">
      <c r="A523" s="20" t="s">
        <v>264</v>
      </c>
      <c r="B523" s="21" t="s">
        <v>108</v>
      </c>
      <c r="C523" s="31" t="s">
        <v>261</v>
      </c>
      <c r="D523" s="31" t="s">
        <v>265</v>
      </c>
      <c r="E523" s="31"/>
      <c r="F523" s="44">
        <f>F524</f>
        <v>87624</v>
      </c>
      <c r="G523" s="44">
        <f>G524</f>
        <v>87624</v>
      </c>
    </row>
    <row r="524" spans="1:7" ht="15.75">
      <c r="A524" s="20" t="s">
        <v>1</v>
      </c>
      <c r="B524" s="21" t="s">
        <v>108</v>
      </c>
      <c r="C524" s="31" t="s">
        <v>261</v>
      </c>
      <c r="D524" s="31" t="s">
        <v>265</v>
      </c>
      <c r="E524" s="31" t="s">
        <v>269</v>
      </c>
      <c r="F524" s="44">
        <f>71600+16024</f>
        <v>87624</v>
      </c>
      <c r="G524" s="44">
        <f>F524</f>
        <v>87624</v>
      </c>
    </row>
    <row r="525" spans="1:11" s="11" customFormat="1" ht="15.75">
      <c r="A525" s="19" t="s">
        <v>282</v>
      </c>
      <c r="B525" s="18" t="s">
        <v>290</v>
      </c>
      <c r="C525" s="30"/>
      <c r="D525" s="30"/>
      <c r="E525" s="30"/>
      <c r="F525" s="43">
        <f>F526</f>
        <v>7186100</v>
      </c>
      <c r="G525" s="43">
        <f>G526</f>
        <v>0</v>
      </c>
      <c r="K525" s="78"/>
    </row>
    <row r="526" spans="1:11" s="11" customFormat="1" ht="31.5">
      <c r="A526" s="19" t="s">
        <v>283</v>
      </c>
      <c r="B526" s="18" t="s">
        <v>291</v>
      </c>
      <c r="C526" s="30"/>
      <c r="D526" s="30"/>
      <c r="E526" s="30"/>
      <c r="F526" s="43">
        <f>F527+F531+F535+F539+F546</f>
        <v>7186100</v>
      </c>
      <c r="G526" s="43">
        <f>G527+G531+G535+G539+G546</f>
        <v>0</v>
      </c>
      <c r="H526" s="43">
        <f>H527+H531+H535+H539+H546</f>
        <v>0</v>
      </c>
      <c r="I526" s="43">
        <f>I527+I531+I535+I539+I546</f>
        <v>0</v>
      </c>
      <c r="J526" s="43">
        <f>J527+J531+J535+J539+J546</f>
        <v>0</v>
      </c>
      <c r="K526" s="78"/>
    </row>
    <row r="527" spans="1:7" ht="31.5">
      <c r="A527" s="20" t="s">
        <v>277</v>
      </c>
      <c r="B527" s="21" t="s">
        <v>286</v>
      </c>
      <c r="C527" s="31"/>
      <c r="D527" s="31"/>
      <c r="E527" s="31"/>
      <c r="F527" s="44">
        <f aca="true" t="shared" si="47" ref="F527:G529">F528</f>
        <v>2094300</v>
      </c>
      <c r="G527" s="44">
        <f t="shared" si="47"/>
        <v>0</v>
      </c>
    </row>
    <row r="528" spans="1:7" ht="78.75">
      <c r="A528" s="20" t="s">
        <v>271</v>
      </c>
      <c r="B528" s="21" t="s">
        <v>286</v>
      </c>
      <c r="C528" s="31" t="s">
        <v>272</v>
      </c>
      <c r="D528" s="31"/>
      <c r="E528" s="31"/>
      <c r="F528" s="44">
        <f t="shared" si="47"/>
        <v>2094300</v>
      </c>
      <c r="G528" s="44">
        <f t="shared" si="47"/>
        <v>0</v>
      </c>
    </row>
    <row r="529" spans="1:7" ht="15.75">
      <c r="A529" s="20" t="s">
        <v>53</v>
      </c>
      <c r="B529" s="21" t="s">
        <v>286</v>
      </c>
      <c r="C529" s="31" t="s">
        <v>272</v>
      </c>
      <c r="D529" s="31" t="s">
        <v>268</v>
      </c>
      <c r="E529" s="31"/>
      <c r="F529" s="44">
        <f t="shared" si="47"/>
        <v>2094300</v>
      </c>
      <c r="G529" s="44">
        <f t="shared" si="47"/>
        <v>0</v>
      </c>
    </row>
    <row r="530" spans="1:7" ht="47.25">
      <c r="A530" s="20" t="s">
        <v>239</v>
      </c>
      <c r="B530" s="21" t="s">
        <v>286</v>
      </c>
      <c r="C530" s="31" t="s">
        <v>272</v>
      </c>
      <c r="D530" s="31" t="s">
        <v>268</v>
      </c>
      <c r="E530" s="31" t="s">
        <v>257</v>
      </c>
      <c r="F530" s="44">
        <f>1968300+126000</f>
        <v>2094300</v>
      </c>
      <c r="G530" s="44">
        <v>0</v>
      </c>
    </row>
    <row r="531" spans="1:7" ht="47.25">
      <c r="A531" s="20" t="s">
        <v>87</v>
      </c>
      <c r="B531" s="21" t="s">
        <v>287</v>
      </c>
      <c r="C531" s="31"/>
      <c r="D531" s="31"/>
      <c r="E531" s="31"/>
      <c r="F531" s="44">
        <f aca="true" t="shared" si="48" ref="F531:G533">F532</f>
        <v>1634300</v>
      </c>
      <c r="G531" s="44">
        <f t="shared" si="48"/>
        <v>0</v>
      </c>
    </row>
    <row r="532" spans="1:7" ht="78.75">
      <c r="A532" s="20" t="s">
        <v>271</v>
      </c>
      <c r="B532" s="21" t="s">
        <v>287</v>
      </c>
      <c r="C532" s="31" t="s">
        <v>272</v>
      </c>
      <c r="D532" s="31"/>
      <c r="E532" s="31"/>
      <c r="F532" s="44">
        <f t="shared" si="48"/>
        <v>1634300</v>
      </c>
      <c r="G532" s="44">
        <f t="shared" si="48"/>
        <v>0</v>
      </c>
    </row>
    <row r="533" spans="1:7" ht="15.75">
      <c r="A533" s="20" t="s">
        <v>53</v>
      </c>
      <c r="B533" s="21" t="s">
        <v>287</v>
      </c>
      <c r="C533" s="31" t="s">
        <v>272</v>
      </c>
      <c r="D533" s="31" t="s">
        <v>268</v>
      </c>
      <c r="E533" s="31"/>
      <c r="F533" s="44">
        <f t="shared" si="48"/>
        <v>1634300</v>
      </c>
      <c r="G533" s="44">
        <f t="shared" si="48"/>
        <v>0</v>
      </c>
    </row>
    <row r="534" spans="1:7" ht="63">
      <c r="A534" s="20" t="s">
        <v>238</v>
      </c>
      <c r="B534" s="21" t="s">
        <v>287</v>
      </c>
      <c r="C534" s="31" t="s">
        <v>272</v>
      </c>
      <c r="D534" s="31" t="s">
        <v>268</v>
      </c>
      <c r="E534" s="31" t="s">
        <v>258</v>
      </c>
      <c r="F534" s="44">
        <f>1482300+152000</f>
        <v>1634300</v>
      </c>
      <c r="G534" s="44">
        <v>0</v>
      </c>
    </row>
    <row r="535" spans="1:7" ht="31.5">
      <c r="A535" s="20" t="s">
        <v>127</v>
      </c>
      <c r="B535" s="21" t="s">
        <v>288</v>
      </c>
      <c r="C535" s="31"/>
      <c r="D535" s="31"/>
      <c r="E535" s="31"/>
      <c r="F535" s="44">
        <f aca="true" t="shared" si="49" ref="F535:G537">F536</f>
        <v>2928200</v>
      </c>
      <c r="G535" s="44">
        <f t="shared" si="49"/>
        <v>0</v>
      </c>
    </row>
    <row r="536" spans="1:7" ht="78.75">
      <c r="A536" s="20" t="s">
        <v>271</v>
      </c>
      <c r="B536" s="21" t="s">
        <v>288</v>
      </c>
      <c r="C536" s="31" t="s">
        <v>272</v>
      </c>
      <c r="D536" s="31"/>
      <c r="E536" s="31"/>
      <c r="F536" s="44">
        <f t="shared" si="49"/>
        <v>2928200</v>
      </c>
      <c r="G536" s="44">
        <f t="shared" si="49"/>
        <v>0</v>
      </c>
    </row>
    <row r="537" spans="1:7" ht="15.75">
      <c r="A537" s="20" t="s">
        <v>53</v>
      </c>
      <c r="B537" s="21" t="s">
        <v>288</v>
      </c>
      <c r="C537" s="31" t="s">
        <v>272</v>
      </c>
      <c r="D537" s="31" t="s">
        <v>268</v>
      </c>
      <c r="E537" s="31"/>
      <c r="F537" s="44">
        <f t="shared" si="49"/>
        <v>2928200</v>
      </c>
      <c r="G537" s="44">
        <f t="shared" si="49"/>
        <v>0</v>
      </c>
    </row>
    <row r="538" spans="1:9" ht="63">
      <c r="A538" s="20" t="s">
        <v>238</v>
      </c>
      <c r="B538" s="21" t="s">
        <v>288</v>
      </c>
      <c r="C538" s="31" t="s">
        <v>272</v>
      </c>
      <c r="D538" s="31" t="s">
        <v>268</v>
      </c>
      <c r="E538" s="31" t="s">
        <v>258</v>
      </c>
      <c r="F538" s="44">
        <f>3536200-55000-553000</f>
        <v>2928200</v>
      </c>
      <c r="G538" s="44">
        <v>0</v>
      </c>
      <c r="I538">
        <v>39036408.78</v>
      </c>
    </row>
    <row r="539" spans="1:10" ht="31.5">
      <c r="A539" s="20" t="s">
        <v>90</v>
      </c>
      <c r="B539" s="21" t="s">
        <v>289</v>
      </c>
      <c r="C539" s="31"/>
      <c r="D539" s="31"/>
      <c r="E539" s="31"/>
      <c r="F539" s="44">
        <f>F543+F540</f>
        <v>274300</v>
      </c>
      <c r="G539" s="44">
        <f>G543+G540</f>
        <v>0</v>
      </c>
      <c r="H539" s="3">
        <f>H543</f>
        <v>0</v>
      </c>
      <c r="I539" s="3">
        <f>I543</f>
        <v>0</v>
      </c>
      <c r="J539" s="3">
        <f>J543</f>
        <v>0</v>
      </c>
    </row>
    <row r="540" spans="1:10" ht="78.75">
      <c r="A540" s="20" t="s">
        <v>271</v>
      </c>
      <c r="B540" s="21" t="s">
        <v>289</v>
      </c>
      <c r="C540" s="31" t="s">
        <v>272</v>
      </c>
      <c r="D540" s="31"/>
      <c r="E540" s="31"/>
      <c r="F540" s="44">
        <f>F541</f>
        <v>65000</v>
      </c>
      <c r="G540" s="44">
        <f>G541</f>
        <v>0</v>
      </c>
      <c r="H540" s="3"/>
      <c r="I540" s="3"/>
      <c r="J540" s="3"/>
    </row>
    <row r="541" spans="1:10" ht="15.75">
      <c r="A541" s="20" t="s">
        <v>53</v>
      </c>
      <c r="B541" s="21" t="s">
        <v>289</v>
      </c>
      <c r="C541" s="31" t="s">
        <v>272</v>
      </c>
      <c r="D541" s="31" t="s">
        <v>268</v>
      </c>
      <c r="E541" s="31"/>
      <c r="F541" s="44">
        <f>F542</f>
        <v>65000</v>
      </c>
      <c r="G541" s="44">
        <f>G542</f>
        <v>0</v>
      </c>
      <c r="H541" s="3"/>
      <c r="I541" s="3"/>
      <c r="J541" s="3"/>
    </row>
    <row r="542" spans="1:10" ht="63">
      <c r="A542" s="20" t="s">
        <v>238</v>
      </c>
      <c r="B542" s="21" t="s">
        <v>289</v>
      </c>
      <c r="C542" s="31" t="s">
        <v>272</v>
      </c>
      <c r="D542" s="31" t="s">
        <v>268</v>
      </c>
      <c r="E542" s="31" t="s">
        <v>258</v>
      </c>
      <c r="F542" s="44">
        <f>50000+15000</f>
        <v>65000</v>
      </c>
      <c r="G542" s="44">
        <v>0</v>
      </c>
      <c r="H542" s="3"/>
      <c r="I542" s="3"/>
      <c r="J542" s="3"/>
    </row>
    <row r="543" spans="1:7" ht="31.5">
      <c r="A543" s="22" t="s">
        <v>260</v>
      </c>
      <c r="B543" s="21" t="s">
        <v>289</v>
      </c>
      <c r="C543" s="31" t="s">
        <v>261</v>
      </c>
      <c r="D543" s="31"/>
      <c r="E543" s="31"/>
      <c r="F543" s="44">
        <f>F544</f>
        <v>209300</v>
      </c>
      <c r="G543" s="44">
        <f>G544</f>
        <v>0</v>
      </c>
    </row>
    <row r="544" spans="1:7" ht="15.75">
      <c r="A544" s="20" t="s">
        <v>53</v>
      </c>
      <c r="B544" s="21" t="s">
        <v>289</v>
      </c>
      <c r="C544" s="31" t="s">
        <v>261</v>
      </c>
      <c r="D544" s="31" t="s">
        <v>268</v>
      </c>
      <c r="E544" s="32"/>
      <c r="F544" s="44">
        <f>F545</f>
        <v>209300</v>
      </c>
      <c r="G544" s="44">
        <f>G545</f>
        <v>0</v>
      </c>
    </row>
    <row r="545" spans="1:9" ht="63">
      <c r="A545" s="20" t="s">
        <v>238</v>
      </c>
      <c r="B545" s="21" t="s">
        <v>289</v>
      </c>
      <c r="C545" s="31" t="s">
        <v>261</v>
      </c>
      <c r="D545" s="31" t="s">
        <v>268</v>
      </c>
      <c r="E545" s="31" t="s">
        <v>258</v>
      </c>
      <c r="F545" s="44">
        <f>204300+20000-15000</f>
        <v>209300</v>
      </c>
      <c r="G545" s="44">
        <v>0</v>
      </c>
      <c r="I545" s="15">
        <f>F545+F538+F534+F530+F483+F479+F475+F452+F448+F105+F99</f>
        <v>38605092.67</v>
      </c>
    </row>
    <row r="546" spans="1:9" ht="63">
      <c r="A546" s="25" t="s">
        <v>323</v>
      </c>
      <c r="B546" s="21" t="s">
        <v>326</v>
      </c>
      <c r="C546" s="31"/>
      <c r="D546" s="31"/>
      <c r="E546" s="31"/>
      <c r="F546" s="44">
        <f>F547</f>
        <v>255000</v>
      </c>
      <c r="G546" s="44">
        <f>G547</f>
        <v>0</v>
      </c>
      <c r="I546" s="15"/>
    </row>
    <row r="547" spans="1:9" ht="78.75">
      <c r="A547" s="25" t="s">
        <v>271</v>
      </c>
      <c r="B547" s="21" t="s">
        <v>326</v>
      </c>
      <c r="C547" s="31" t="s">
        <v>272</v>
      </c>
      <c r="D547" s="31"/>
      <c r="E547" s="31"/>
      <c r="F547" s="44">
        <f>F548</f>
        <v>255000</v>
      </c>
      <c r="G547" s="44">
        <f>G548</f>
        <v>0</v>
      </c>
      <c r="I547" s="15"/>
    </row>
    <row r="548" spans="1:9" ht="15.75">
      <c r="A548" s="20" t="s">
        <v>53</v>
      </c>
      <c r="B548" s="21" t="s">
        <v>326</v>
      </c>
      <c r="C548" s="31" t="s">
        <v>272</v>
      </c>
      <c r="D548" s="31" t="s">
        <v>268</v>
      </c>
      <c r="E548" s="31"/>
      <c r="F548" s="44">
        <f>F549+F550</f>
        <v>255000</v>
      </c>
      <c r="G548" s="44">
        <f>G550</f>
        <v>0</v>
      </c>
      <c r="I548" s="15"/>
    </row>
    <row r="549" spans="1:11" s="74" customFormat="1" ht="29.25" customHeight="1">
      <c r="A549" s="20" t="s">
        <v>239</v>
      </c>
      <c r="B549" s="21" t="s">
        <v>326</v>
      </c>
      <c r="C549" s="31" t="s">
        <v>272</v>
      </c>
      <c r="D549" s="31" t="s">
        <v>268</v>
      </c>
      <c r="E549" s="32" t="s">
        <v>257</v>
      </c>
      <c r="F549" s="44">
        <f>50000</f>
        <v>50000</v>
      </c>
      <c r="G549" s="44">
        <v>0</v>
      </c>
      <c r="I549" s="15"/>
      <c r="K549" s="77"/>
    </row>
    <row r="550" spans="1:9" ht="57" customHeight="1">
      <c r="A550" s="20" t="s">
        <v>238</v>
      </c>
      <c r="B550" s="21" t="s">
        <v>326</v>
      </c>
      <c r="C550" s="31" t="s">
        <v>272</v>
      </c>
      <c r="D550" s="31" t="s">
        <v>268</v>
      </c>
      <c r="E550" s="31" t="s">
        <v>258</v>
      </c>
      <c r="F550" s="44">
        <f>55000+150000</f>
        <v>205000</v>
      </c>
      <c r="G550" s="44">
        <v>0</v>
      </c>
      <c r="I550" s="15"/>
    </row>
    <row r="551" spans="1:7" ht="27" customHeight="1">
      <c r="A551" s="64" t="s">
        <v>242</v>
      </c>
      <c r="B551" s="24" t="s">
        <v>243</v>
      </c>
      <c r="C551" s="33" t="s">
        <v>243</v>
      </c>
      <c r="D551" s="33" t="s">
        <v>243</v>
      </c>
      <c r="E551" s="33" t="s">
        <v>243</v>
      </c>
      <c r="F551" s="45">
        <f>F9+F138+F205+F228+F264+F324+F362+F368+F383+F394+F404+F438+F457+F525</f>
        <v>411923848.63000005</v>
      </c>
      <c r="G551" s="45">
        <f>G9+G138+G205+G228+G264+G324+G362+G368+G383+G394+G404+G438+G457+G525</f>
        <v>131543997.44</v>
      </c>
    </row>
    <row r="553" ht="1.5" customHeight="1">
      <c r="F553" s="46">
        <v>456934373</v>
      </c>
    </row>
    <row r="554" ht="15.75" hidden="1">
      <c r="F554" s="46">
        <f>F553-F551</f>
        <v>45010524.369999945</v>
      </c>
    </row>
    <row r="555" ht="15.75">
      <c r="P555" s="16" t="s">
        <v>281</v>
      </c>
    </row>
    <row r="557" spans="1:7" ht="15.75">
      <c r="A557" s="4"/>
      <c r="B557" s="8"/>
      <c r="C557" s="34"/>
      <c r="D557" s="34"/>
      <c r="E557" s="35"/>
      <c r="F557" s="48"/>
      <c r="G557" s="48"/>
    </row>
    <row r="558" spans="1:7" ht="15.75">
      <c r="A558" s="4"/>
      <c r="B558" s="8"/>
      <c r="C558" s="35"/>
      <c r="D558" s="34"/>
      <c r="E558" s="35"/>
      <c r="F558" s="48"/>
      <c r="G558" s="48"/>
    </row>
    <row r="559" spans="1:7" ht="15.75">
      <c r="A559" s="4"/>
      <c r="B559" s="8"/>
      <c r="C559" s="35"/>
      <c r="D559" s="35"/>
      <c r="E559" s="35"/>
      <c r="F559" s="48"/>
      <c r="G559" s="48"/>
    </row>
    <row r="560" spans="1:7" ht="15.75">
      <c r="A560" s="4"/>
      <c r="B560" s="8"/>
      <c r="C560" s="35"/>
      <c r="D560" s="35"/>
      <c r="E560" s="35"/>
      <c r="F560" s="48"/>
      <c r="G560" s="48"/>
    </row>
    <row r="561" spans="1:7" ht="15.75">
      <c r="A561" s="4"/>
      <c r="B561" s="8"/>
      <c r="C561" s="34"/>
      <c r="D561" s="34"/>
      <c r="E561" s="35"/>
      <c r="F561" s="48"/>
      <c r="G561" s="48"/>
    </row>
    <row r="562" spans="1:7" ht="15.75">
      <c r="A562" s="4"/>
      <c r="B562" s="8"/>
      <c r="C562" s="35"/>
      <c r="D562" s="34"/>
      <c r="E562" s="35"/>
      <c r="F562" s="48"/>
      <c r="G562" s="48"/>
    </row>
    <row r="563" spans="1:7" ht="15.75">
      <c r="A563" s="4"/>
      <c r="B563" s="8"/>
      <c r="C563" s="35"/>
      <c r="D563" s="35"/>
      <c r="E563" s="35"/>
      <c r="F563" s="48"/>
      <c r="G563" s="48"/>
    </row>
    <row r="564" spans="1:7" ht="15.75">
      <c r="A564" s="4"/>
      <c r="B564" s="8"/>
      <c r="C564" s="35"/>
      <c r="D564" s="35"/>
      <c r="E564" s="35"/>
      <c r="F564" s="48"/>
      <c r="G564" s="48"/>
    </row>
    <row r="565" spans="1:7" ht="15.75">
      <c r="A565" s="4"/>
      <c r="B565" s="8"/>
      <c r="C565" s="34"/>
      <c r="D565" s="34"/>
      <c r="E565" s="35"/>
      <c r="F565" s="48"/>
      <c r="G565" s="48"/>
    </row>
    <row r="566" spans="1:7" ht="15.75">
      <c r="A566" s="4"/>
      <c r="B566" s="8"/>
      <c r="C566" s="35"/>
      <c r="D566" s="34"/>
      <c r="E566" s="35"/>
      <c r="F566" s="48"/>
      <c r="G566" s="48"/>
    </row>
    <row r="567" spans="1:7" ht="15.75">
      <c r="A567" s="4"/>
      <c r="B567" s="8"/>
      <c r="C567" s="35"/>
      <c r="D567" s="35"/>
      <c r="E567" s="35"/>
      <c r="F567" s="48"/>
      <c r="G567" s="48"/>
    </row>
    <row r="568" spans="1:7" ht="15.75">
      <c r="A568" s="4"/>
      <c r="B568" s="8"/>
      <c r="C568" s="35"/>
      <c r="D568" s="35"/>
      <c r="E568" s="35"/>
      <c r="F568" s="48"/>
      <c r="G568" s="48"/>
    </row>
    <row r="569" spans="1:7" ht="15.75">
      <c r="A569" s="4"/>
      <c r="B569" s="8"/>
      <c r="C569" s="34"/>
      <c r="D569" s="34"/>
      <c r="E569" s="35"/>
      <c r="F569" s="48"/>
      <c r="G569" s="48"/>
    </row>
    <row r="570" spans="1:7" ht="15.75">
      <c r="A570" s="12"/>
      <c r="B570" s="8"/>
      <c r="C570" s="35"/>
      <c r="D570" s="34"/>
      <c r="E570" s="35"/>
      <c r="F570" s="48"/>
      <c r="G570" s="48"/>
    </row>
    <row r="571" spans="1:7" ht="15.75">
      <c r="A571" s="4"/>
      <c r="B571" s="8"/>
      <c r="C571" s="35"/>
      <c r="D571" s="35"/>
      <c r="E571" s="35"/>
      <c r="F571" s="48"/>
      <c r="G571" s="48"/>
    </row>
    <row r="572" spans="1:7" ht="15.75">
      <c r="A572" s="4"/>
      <c r="B572" s="8"/>
      <c r="C572" s="35"/>
      <c r="D572" s="35"/>
      <c r="E572" s="35"/>
      <c r="F572" s="48"/>
      <c r="G572" s="48"/>
    </row>
  </sheetData>
  <sheetProtection/>
  <autoFilter ref="A8:P551"/>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89"/>
  <sheetViews>
    <sheetView tabSelected="1" view="pageBreakPreview" zoomScale="75" zoomScaleNormal="75" zoomScaleSheetLayoutView="75" zoomScalePageLayoutView="0" workbookViewId="0" topLeftCell="A1">
      <selection activeCell="F7" sqref="F7"/>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83" t="s">
        <v>302</v>
      </c>
      <c r="I1" s="83"/>
    </row>
    <row r="2" spans="5:9" ht="24.75" customHeight="1">
      <c r="E2" s="36"/>
      <c r="F2" s="53"/>
      <c r="G2" s="83" t="s">
        <v>358</v>
      </c>
      <c r="H2" s="83"/>
      <c r="I2" s="83"/>
    </row>
    <row r="3" spans="1:9" ht="30" customHeight="1">
      <c r="A3" s="5" t="s">
        <v>243</v>
      </c>
      <c r="B3" s="9"/>
      <c r="C3" s="9"/>
      <c r="E3" s="37"/>
      <c r="F3" s="54"/>
      <c r="G3" s="92" t="s">
        <v>321</v>
      </c>
      <c r="H3" s="92"/>
      <c r="I3" s="92"/>
    </row>
    <row r="4" spans="1:9" ht="18.75" customHeight="1">
      <c r="A4" s="5"/>
      <c r="B4" s="9"/>
      <c r="C4" s="9"/>
      <c r="E4" s="37"/>
      <c r="F4" s="54"/>
      <c r="G4" s="55"/>
      <c r="H4" s="93" t="s">
        <v>359</v>
      </c>
      <c r="I4" s="94"/>
    </row>
    <row r="5" spans="1:9" ht="64.5" customHeight="1">
      <c r="A5" s="85" t="s">
        <v>327</v>
      </c>
      <c r="B5" s="85"/>
      <c r="C5" s="85"/>
      <c r="D5" s="85"/>
      <c r="E5" s="85"/>
      <c r="F5" s="85"/>
      <c r="G5" s="85"/>
      <c r="H5" s="85"/>
      <c r="I5" s="85"/>
    </row>
    <row r="6" spans="1:7" ht="15.75">
      <c r="A6" s="1"/>
      <c r="B6" s="6"/>
      <c r="C6" s="6"/>
      <c r="D6" s="6"/>
      <c r="E6" s="6"/>
      <c r="F6" s="60"/>
      <c r="G6" s="60"/>
    </row>
    <row r="7" spans="1:9" ht="15.75" customHeight="1" thickBot="1">
      <c r="A7" s="2" t="s">
        <v>243</v>
      </c>
      <c r="B7" s="10" t="s">
        <v>243</v>
      </c>
      <c r="D7" s="2"/>
      <c r="E7" s="2"/>
      <c r="F7" s="61"/>
      <c r="G7" s="61"/>
      <c r="I7" s="61" t="s">
        <v>244</v>
      </c>
    </row>
    <row r="8" spans="1:9" ht="15.75" customHeight="1">
      <c r="A8" s="95" t="s">
        <v>245</v>
      </c>
      <c r="B8" s="97" t="s">
        <v>246</v>
      </c>
      <c r="C8" s="97" t="s">
        <v>247</v>
      </c>
      <c r="D8" s="97" t="s">
        <v>248</v>
      </c>
      <c r="E8" s="97" t="s">
        <v>249</v>
      </c>
      <c r="F8" s="90">
        <v>2016</v>
      </c>
      <c r="G8" s="90"/>
      <c r="H8" s="90">
        <v>2017</v>
      </c>
      <c r="I8" s="91"/>
    </row>
    <row r="9" spans="1:9" ht="60.75" thickBot="1">
      <c r="A9" s="96"/>
      <c r="B9" s="98"/>
      <c r="C9" s="98"/>
      <c r="D9" s="98"/>
      <c r="E9" s="98"/>
      <c r="F9" s="70" t="s">
        <v>250</v>
      </c>
      <c r="G9" s="71" t="s">
        <v>303</v>
      </c>
      <c r="H9" s="70" t="s">
        <v>250</v>
      </c>
      <c r="I9" s="72" t="s">
        <v>303</v>
      </c>
    </row>
    <row r="10" spans="1:9" ht="31.5">
      <c r="A10" s="17" t="s">
        <v>180</v>
      </c>
      <c r="B10" s="18" t="s">
        <v>10</v>
      </c>
      <c r="C10" s="18" t="s">
        <v>243</v>
      </c>
      <c r="D10" s="18" t="s">
        <v>243</v>
      </c>
      <c r="E10" s="18" t="s">
        <v>243</v>
      </c>
      <c r="F10" s="59">
        <f>F11+F63+F68+F76+F88+F112+F120</f>
        <v>178299406</v>
      </c>
      <c r="G10" s="59">
        <f>G11+G63+G68+G76+G88+G112+G120</f>
        <v>110408400</v>
      </c>
      <c r="H10" s="59">
        <f>H11+H63+H68+H76+H88+H112+H120</f>
        <v>193675716</v>
      </c>
      <c r="I10" s="59">
        <f>I11+I63+I68+I76+I88+I112+I120</f>
        <v>119484700</v>
      </c>
    </row>
    <row r="11" spans="1:9" ht="31.5">
      <c r="A11" s="19" t="s">
        <v>11</v>
      </c>
      <c r="B11" s="18" t="s">
        <v>12</v>
      </c>
      <c r="C11" s="18" t="s">
        <v>243</v>
      </c>
      <c r="D11" s="18" t="s">
        <v>243</v>
      </c>
      <c r="E11" s="18" t="s">
        <v>243</v>
      </c>
      <c r="F11" s="59">
        <f>F12+F17+F21+F25+F34+F39+F43+F47+F51+F55+F59+F30</f>
        <v>146738179</v>
      </c>
      <c r="G11" s="59">
        <f>G12+G17+G21+G25+G34+G39+G43+G47+G51+G55+G59+G30</f>
        <v>109227100</v>
      </c>
      <c r="H11" s="59">
        <f>H12+H17+H21+H25+H34+H39+H43+H47+H51+H55+H59+H30</f>
        <v>161801587</v>
      </c>
      <c r="I11" s="59">
        <f>I12+I17+I21+I25+I34+I39+I43+I47+I51+I55+I59+I30</f>
        <v>118290500</v>
      </c>
    </row>
    <row r="12" spans="1:9" ht="63">
      <c r="A12" s="38" t="s">
        <v>14</v>
      </c>
      <c r="B12" s="39" t="s">
        <v>13</v>
      </c>
      <c r="C12" s="39" t="s">
        <v>243</v>
      </c>
      <c r="D12" s="39" t="s">
        <v>243</v>
      </c>
      <c r="E12" s="39" t="s">
        <v>243</v>
      </c>
      <c r="F12" s="56">
        <f aca="true" t="shared" si="0" ref="F12:I13">F13</f>
        <v>36089079</v>
      </c>
      <c r="G12" s="56">
        <f t="shared" si="0"/>
        <v>0</v>
      </c>
      <c r="H12" s="56">
        <f t="shared" si="0"/>
        <v>42089087</v>
      </c>
      <c r="I12" s="56">
        <f t="shared" si="0"/>
        <v>0</v>
      </c>
    </row>
    <row r="13" spans="1:9" ht="47.25">
      <c r="A13" s="38" t="s">
        <v>251</v>
      </c>
      <c r="B13" s="39" t="s">
        <v>13</v>
      </c>
      <c r="C13" s="39" t="s">
        <v>252</v>
      </c>
      <c r="D13" s="39" t="s">
        <v>243</v>
      </c>
      <c r="E13" s="39" t="s">
        <v>243</v>
      </c>
      <c r="F13" s="56">
        <f t="shared" si="0"/>
        <v>36089079</v>
      </c>
      <c r="G13" s="56">
        <f t="shared" si="0"/>
        <v>0</v>
      </c>
      <c r="H13" s="56">
        <f t="shared" si="0"/>
        <v>42089087</v>
      </c>
      <c r="I13" s="56">
        <f t="shared" si="0"/>
        <v>0</v>
      </c>
    </row>
    <row r="14" spans="1:9" ht="15.75">
      <c r="A14" s="38" t="s">
        <v>253</v>
      </c>
      <c r="B14" s="39" t="s">
        <v>13</v>
      </c>
      <c r="C14" s="39" t="s">
        <v>252</v>
      </c>
      <c r="D14" s="39" t="s">
        <v>254</v>
      </c>
      <c r="E14" s="39" t="s">
        <v>243</v>
      </c>
      <c r="F14" s="56">
        <f>F15+F16</f>
        <v>36089079</v>
      </c>
      <c r="G14" s="56">
        <f>G15+G16</f>
        <v>0</v>
      </c>
      <c r="H14" s="56">
        <f>H15+H16</f>
        <v>42089087</v>
      </c>
      <c r="I14" s="56">
        <f>I15+I16</f>
        <v>0</v>
      </c>
    </row>
    <row r="15" spans="1:9" ht="15.75">
      <c r="A15" s="38" t="s">
        <v>2</v>
      </c>
      <c r="B15" s="39" t="s">
        <v>13</v>
      </c>
      <c r="C15" s="39" t="s">
        <v>252</v>
      </c>
      <c r="D15" s="39" t="s">
        <v>254</v>
      </c>
      <c r="E15" s="39" t="s">
        <v>268</v>
      </c>
      <c r="F15" s="56">
        <f>21194656-302600</f>
        <v>20892056</v>
      </c>
      <c r="G15" s="56">
        <v>0</v>
      </c>
      <c r="H15" s="56">
        <f>24194664-302600</f>
        <v>23892064</v>
      </c>
      <c r="I15" s="56">
        <v>0</v>
      </c>
    </row>
    <row r="16" spans="1:9" ht="15.75">
      <c r="A16" s="38" t="s">
        <v>0</v>
      </c>
      <c r="B16" s="39" t="s">
        <v>13</v>
      </c>
      <c r="C16" s="39" t="s">
        <v>252</v>
      </c>
      <c r="D16" s="39" t="s">
        <v>254</v>
      </c>
      <c r="E16" s="39" t="s">
        <v>257</v>
      </c>
      <c r="F16" s="56">
        <v>15197023</v>
      </c>
      <c r="G16" s="56">
        <v>0</v>
      </c>
      <c r="H16" s="56">
        <v>18197023</v>
      </c>
      <c r="I16" s="56">
        <v>0</v>
      </c>
    </row>
    <row r="17" spans="1:9" ht="31.5">
      <c r="A17" s="38" t="s">
        <v>16</v>
      </c>
      <c r="B17" s="39" t="s">
        <v>15</v>
      </c>
      <c r="C17" s="39" t="s">
        <v>243</v>
      </c>
      <c r="D17" s="39" t="s">
        <v>243</v>
      </c>
      <c r="E17" s="39" t="s">
        <v>243</v>
      </c>
      <c r="F17" s="56">
        <f aca="true" t="shared" si="1" ref="F17:I19">F18</f>
        <v>200000</v>
      </c>
      <c r="G17" s="56">
        <f t="shared" si="1"/>
        <v>0</v>
      </c>
      <c r="H17" s="56">
        <f t="shared" si="1"/>
        <v>200000</v>
      </c>
      <c r="I17" s="56">
        <f t="shared" si="1"/>
        <v>0</v>
      </c>
    </row>
    <row r="18" spans="1:9" ht="31.5">
      <c r="A18" s="38" t="s">
        <v>260</v>
      </c>
      <c r="B18" s="39" t="s">
        <v>15</v>
      </c>
      <c r="C18" s="39" t="s">
        <v>261</v>
      </c>
      <c r="D18" s="39" t="s">
        <v>243</v>
      </c>
      <c r="E18" s="39" t="s">
        <v>243</v>
      </c>
      <c r="F18" s="56">
        <f t="shared" si="1"/>
        <v>200000</v>
      </c>
      <c r="G18" s="56">
        <f t="shared" si="1"/>
        <v>0</v>
      </c>
      <c r="H18" s="56">
        <f t="shared" si="1"/>
        <v>200000</v>
      </c>
      <c r="I18" s="56">
        <f t="shared" si="1"/>
        <v>0</v>
      </c>
    </row>
    <row r="19" spans="1:9" ht="15.75">
      <c r="A19" s="38" t="s">
        <v>53</v>
      </c>
      <c r="B19" s="39" t="s">
        <v>15</v>
      </c>
      <c r="C19" s="39" t="s">
        <v>261</v>
      </c>
      <c r="D19" s="39" t="s">
        <v>268</v>
      </c>
      <c r="E19" s="39" t="s">
        <v>243</v>
      </c>
      <c r="F19" s="56">
        <f t="shared" si="1"/>
        <v>200000</v>
      </c>
      <c r="G19" s="56">
        <f t="shared" si="1"/>
        <v>0</v>
      </c>
      <c r="H19" s="56">
        <f t="shared" si="1"/>
        <v>200000</v>
      </c>
      <c r="I19" s="56">
        <f t="shared" si="1"/>
        <v>0</v>
      </c>
    </row>
    <row r="20" spans="1:9" ht="15.75">
      <c r="A20" s="38" t="s">
        <v>54</v>
      </c>
      <c r="B20" s="39" t="s">
        <v>15</v>
      </c>
      <c r="C20" s="39" t="s">
        <v>261</v>
      </c>
      <c r="D20" s="39" t="s">
        <v>268</v>
      </c>
      <c r="E20" s="39" t="s">
        <v>55</v>
      </c>
      <c r="F20" s="56">
        <v>200000</v>
      </c>
      <c r="G20" s="56">
        <v>0</v>
      </c>
      <c r="H20" s="56">
        <v>200000</v>
      </c>
      <c r="I20" s="56">
        <v>0</v>
      </c>
    </row>
    <row r="21" spans="1:9" ht="47.25">
      <c r="A21" s="38" t="s">
        <v>17</v>
      </c>
      <c r="B21" s="39" t="s">
        <v>18</v>
      </c>
      <c r="C21" s="39"/>
      <c r="D21" s="39" t="s">
        <v>243</v>
      </c>
      <c r="E21" s="39" t="s">
        <v>243</v>
      </c>
      <c r="F21" s="56">
        <f aca="true" t="shared" si="2" ref="F21:I23">F22</f>
        <v>35000</v>
      </c>
      <c r="G21" s="56">
        <f t="shared" si="2"/>
        <v>0</v>
      </c>
      <c r="H21" s="56">
        <f t="shared" si="2"/>
        <v>35000</v>
      </c>
      <c r="I21" s="56">
        <f t="shared" si="2"/>
        <v>0</v>
      </c>
    </row>
    <row r="22" spans="1:9" ht="31.5">
      <c r="A22" s="38" t="s">
        <v>260</v>
      </c>
      <c r="B22" s="39" t="s">
        <v>18</v>
      </c>
      <c r="C22" s="39" t="s">
        <v>261</v>
      </c>
      <c r="D22" s="39" t="s">
        <v>243</v>
      </c>
      <c r="E22" s="39" t="s">
        <v>243</v>
      </c>
      <c r="F22" s="56">
        <f t="shared" si="2"/>
        <v>35000</v>
      </c>
      <c r="G22" s="56">
        <f t="shared" si="2"/>
        <v>0</v>
      </c>
      <c r="H22" s="56">
        <f t="shared" si="2"/>
        <v>35000</v>
      </c>
      <c r="I22" s="56">
        <f t="shared" si="2"/>
        <v>0</v>
      </c>
    </row>
    <row r="23" spans="1:9" ht="15.75">
      <c r="A23" s="38" t="s">
        <v>53</v>
      </c>
      <c r="B23" s="39" t="s">
        <v>18</v>
      </c>
      <c r="C23" s="39" t="s">
        <v>261</v>
      </c>
      <c r="D23" s="39" t="s">
        <v>268</v>
      </c>
      <c r="E23" s="39" t="s">
        <v>243</v>
      </c>
      <c r="F23" s="56">
        <f t="shared" si="2"/>
        <v>35000</v>
      </c>
      <c r="G23" s="56">
        <f t="shared" si="2"/>
        <v>0</v>
      </c>
      <c r="H23" s="56">
        <f t="shared" si="2"/>
        <v>35000</v>
      </c>
      <c r="I23" s="56">
        <f t="shared" si="2"/>
        <v>0</v>
      </c>
    </row>
    <row r="24" spans="1:9" ht="15.75">
      <c r="A24" s="38" t="s">
        <v>54</v>
      </c>
      <c r="B24" s="39" t="s">
        <v>18</v>
      </c>
      <c r="C24" s="39" t="s">
        <v>261</v>
      </c>
      <c r="D24" s="39" t="s">
        <v>268</v>
      </c>
      <c r="E24" s="39" t="s">
        <v>55</v>
      </c>
      <c r="F24" s="56">
        <v>35000</v>
      </c>
      <c r="G24" s="56">
        <v>0</v>
      </c>
      <c r="H24" s="56">
        <v>35000</v>
      </c>
      <c r="I24" s="56">
        <v>0</v>
      </c>
    </row>
    <row r="25" spans="1:9" ht="37.5" customHeight="1">
      <c r="A25" s="38" t="s">
        <v>328</v>
      </c>
      <c r="B25" s="39" t="s">
        <v>19</v>
      </c>
      <c r="C25" s="39" t="s">
        <v>243</v>
      </c>
      <c r="D25" s="39" t="s">
        <v>243</v>
      </c>
      <c r="E25" s="39" t="s">
        <v>243</v>
      </c>
      <c r="F25" s="56">
        <f aca="true" t="shared" si="3" ref="F25:I26">F26</f>
        <v>160000</v>
      </c>
      <c r="G25" s="56">
        <f t="shared" si="3"/>
        <v>0</v>
      </c>
      <c r="H25" s="56">
        <f t="shared" si="3"/>
        <v>160000</v>
      </c>
      <c r="I25" s="56">
        <f t="shared" si="3"/>
        <v>0</v>
      </c>
    </row>
    <row r="26" spans="1:9" ht="47.25">
      <c r="A26" s="38" t="s">
        <v>251</v>
      </c>
      <c r="B26" s="39" t="s">
        <v>19</v>
      </c>
      <c r="C26" s="39" t="s">
        <v>252</v>
      </c>
      <c r="D26" s="39" t="s">
        <v>243</v>
      </c>
      <c r="E26" s="39" t="s">
        <v>243</v>
      </c>
      <c r="F26" s="56">
        <f t="shared" si="3"/>
        <v>160000</v>
      </c>
      <c r="G26" s="56">
        <f t="shared" si="3"/>
        <v>0</v>
      </c>
      <c r="H26" s="56">
        <f t="shared" si="3"/>
        <v>160000</v>
      </c>
      <c r="I26" s="56">
        <f t="shared" si="3"/>
        <v>0</v>
      </c>
    </row>
    <row r="27" spans="1:9" ht="15.75">
      <c r="A27" s="38" t="s">
        <v>253</v>
      </c>
      <c r="B27" s="39" t="s">
        <v>19</v>
      </c>
      <c r="C27" s="39" t="s">
        <v>252</v>
      </c>
      <c r="D27" s="39" t="s">
        <v>254</v>
      </c>
      <c r="E27" s="39" t="s">
        <v>243</v>
      </c>
      <c r="F27" s="56">
        <f>F29+F28</f>
        <v>160000</v>
      </c>
      <c r="G27" s="56">
        <f>G29+G28</f>
        <v>0</v>
      </c>
      <c r="H27" s="56">
        <f>H29+H28</f>
        <v>160000</v>
      </c>
      <c r="I27" s="56">
        <f>I29+I28</f>
        <v>0</v>
      </c>
    </row>
    <row r="28" spans="1:9" ht="15.75">
      <c r="A28" s="38" t="s">
        <v>2</v>
      </c>
      <c r="B28" s="39" t="s">
        <v>320</v>
      </c>
      <c r="C28" s="39" t="s">
        <v>252</v>
      </c>
      <c r="D28" s="39" t="s">
        <v>254</v>
      </c>
      <c r="E28" s="39" t="s">
        <v>268</v>
      </c>
      <c r="F28" s="56">
        <v>60000</v>
      </c>
      <c r="G28" s="56">
        <v>0</v>
      </c>
      <c r="H28" s="56">
        <v>60000</v>
      </c>
      <c r="I28" s="56">
        <v>0</v>
      </c>
    </row>
    <row r="29" spans="1:9" ht="15.75">
      <c r="A29" s="38" t="s">
        <v>0</v>
      </c>
      <c r="B29" s="39" t="s">
        <v>19</v>
      </c>
      <c r="C29" s="39" t="s">
        <v>252</v>
      </c>
      <c r="D29" s="39" t="s">
        <v>254</v>
      </c>
      <c r="E29" s="39" t="s">
        <v>257</v>
      </c>
      <c r="F29" s="56">
        <v>100000</v>
      </c>
      <c r="G29" s="56">
        <v>0</v>
      </c>
      <c r="H29" s="56">
        <v>100000</v>
      </c>
      <c r="I29" s="56">
        <v>0</v>
      </c>
    </row>
    <row r="30" spans="1:9" ht="31.5">
      <c r="A30" s="38" t="s">
        <v>162</v>
      </c>
      <c r="B30" s="39" t="s">
        <v>276</v>
      </c>
      <c r="C30" s="39"/>
      <c r="D30" s="39"/>
      <c r="E30" s="39"/>
      <c r="F30" s="56">
        <f>F31</f>
        <v>1027000</v>
      </c>
      <c r="G30" s="56">
        <v>0</v>
      </c>
      <c r="H30" s="56">
        <f>H31</f>
        <v>1027000</v>
      </c>
      <c r="I30" s="56">
        <v>0</v>
      </c>
    </row>
    <row r="31" spans="1:9" ht="47.25">
      <c r="A31" s="38" t="s">
        <v>251</v>
      </c>
      <c r="B31" s="39" t="s">
        <v>276</v>
      </c>
      <c r="C31" s="39" t="s">
        <v>252</v>
      </c>
      <c r="D31" s="39"/>
      <c r="E31" s="39"/>
      <c r="F31" s="56">
        <f>F32</f>
        <v>1027000</v>
      </c>
      <c r="G31" s="56">
        <v>0</v>
      </c>
      <c r="H31" s="56">
        <f>H32</f>
        <v>1027000</v>
      </c>
      <c r="I31" s="56">
        <v>0</v>
      </c>
    </row>
    <row r="32" spans="1:9" ht="15.75">
      <c r="A32" s="38" t="s">
        <v>253</v>
      </c>
      <c r="B32" s="39" t="s">
        <v>276</v>
      </c>
      <c r="C32" s="39" t="s">
        <v>252</v>
      </c>
      <c r="D32" s="39" t="s">
        <v>254</v>
      </c>
      <c r="E32" s="39"/>
      <c r="F32" s="56">
        <f>F33</f>
        <v>1027000</v>
      </c>
      <c r="G32" s="56">
        <v>0</v>
      </c>
      <c r="H32" s="56">
        <f>H33</f>
        <v>1027000</v>
      </c>
      <c r="I32" s="56">
        <v>0</v>
      </c>
    </row>
    <row r="33" spans="1:9" ht="15.75">
      <c r="A33" s="38" t="s">
        <v>0</v>
      </c>
      <c r="B33" s="39" t="s">
        <v>276</v>
      </c>
      <c r="C33" s="39" t="s">
        <v>252</v>
      </c>
      <c r="D33" s="39" t="s">
        <v>254</v>
      </c>
      <c r="E33" s="39" t="s">
        <v>257</v>
      </c>
      <c r="F33" s="56">
        <v>1027000</v>
      </c>
      <c r="G33" s="56">
        <v>0</v>
      </c>
      <c r="H33" s="56">
        <v>1027000</v>
      </c>
      <c r="I33" s="56">
        <v>0</v>
      </c>
    </row>
    <row r="34" spans="1:9" ht="78.75">
      <c r="A34" s="38" t="s">
        <v>44</v>
      </c>
      <c r="B34" s="39" t="s">
        <v>21</v>
      </c>
      <c r="C34" s="39"/>
      <c r="D34" s="39"/>
      <c r="E34" s="39"/>
      <c r="F34" s="56">
        <f aca="true" t="shared" si="4" ref="F34:I35">F35</f>
        <v>3056100</v>
      </c>
      <c r="G34" s="56">
        <f t="shared" si="4"/>
        <v>3056100</v>
      </c>
      <c r="H34" s="56">
        <f t="shared" si="4"/>
        <v>3276500</v>
      </c>
      <c r="I34" s="56">
        <f t="shared" si="4"/>
        <v>3276500</v>
      </c>
    </row>
    <row r="35" spans="1:9" ht="35.25" customHeight="1">
      <c r="A35" s="38" t="s">
        <v>251</v>
      </c>
      <c r="B35" s="39" t="s">
        <v>21</v>
      </c>
      <c r="C35" s="39" t="s">
        <v>252</v>
      </c>
      <c r="D35" s="39" t="s">
        <v>243</v>
      </c>
      <c r="E35" s="39" t="s">
        <v>243</v>
      </c>
      <c r="F35" s="56">
        <f t="shared" si="4"/>
        <v>3056100</v>
      </c>
      <c r="G35" s="56">
        <f t="shared" si="4"/>
        <v>3056100</v>
      </c>
      <c r="H35" s="56">
        <f t="shared" si="4"/>
        <v>3276500</v>
      </c>
      <c r="I35" s="56">
        <f t="shared" si="4"/>
        <v>3276500</v>
      </c>
    </row>
    <row r="36" spans="1:9" ht="15.75">
      <c r="A36" s="38" t="s">
        <v>253</v>
      </c>
      <c r="B36" s="39" t="s">
        <v>21</v>
      </c>
      <c r="C36" s="39" t="s">
        <v>252</v>
      </c>
      <c r="D36" s="39" t="s">
        <v>254</v>
      </c>
      <c r="E36" s="39" t="s">
        <v>243</v>
      </c>
      <c r="F36" s="56">
        <f>F37+F38</f>
        <v>3056100</v>
      </c>
      <c r="G36" s="56">
        <f>G37+G38</f>
        <v>3056100</v>
      </c>
      <c r="H36" s="56">
        <f>H37+H38</f>
        <v>3276500</v>
      </c>
      <c r="I36" s="56">
        <f>I37+I38</f>
        <v>3276500</v>
      </c>
    </row>
    <row r="37" spans="1:9" ht="15.75">
      <c r="A37" s="38" t="s">
        <v>2</v>
      </c>
      <c r="B37" s="39" t="s">
        <v>21</v>
      </c>
      <c r="C37" s="39" t="s">
        <v>252</v>
      </c>
      <c r="D37" s="39" t="s">
        <v>254</v>
      </c>
      <c r="E37" s="39" t="s">
        <v>268</v>
      </c>
      <c r="F37" s="56">
        <f>2100000-550000</f>
        <v>1550000</v>
      </c>
      <c r="G37" s="56">
        <f>F37</f>
        <v>1550000</v>
      </c>
      <c r="H37" s="56">
        <f>2200000-536800</f>
        <v>1663200</v>
      </c>
      <c r="I37" s="56">
        <f>H37</f>
        <v>1663200</v>
      </c>
    </row>
    <row r="38" spans="1:9" ht="15.75">
      <c r="A38" s="38" t="s">
        <v>0</v>
      </c>
      <c r="B38" s="39" t="s">
        <v>21</v>
      </c>
      <c r="C38" s="39" t="s">
        <v>252</v>
      </c>
      <c r="D38" s="39" t="s">
        <v>254</v>
      </c>
      <c r="E38" s="39" t="s">
        <v>257</v>
      </c>
      <c r="F38" s="56">
        <f>1806100-300000</f>
        <v>1506100</v>
      </c>
      <c r="G38" s="56">
        <f>F38</f>
        <v>1506100</v>
      </c>
      <c r="H38" s="56">
        <f>1906100-292800</f>
        <v>1613300</v>
      </c>
      <c r="I38" s="56">
        <f>H38</f>
        <v>1613300</v>
      </c>
    </row>
    <row r="39" spans="1:9" ht="78.75">
      <c r="A39" s="38" t="s">
        <v>6</v>
      </c>
      <c r="B39" s="39" t="s">
        <v>22</v>
      </c>
      <c r="C39" s="39"/>
      <c r="D39" s="39"/>
      <c r="E39" s="39"/>
      <c r="F39" s="56">
        <f aca="true" t="shared" si="5" ref="F39:I41">F40</f>
        <v>166700</v>
      </c>
      <c r="G39" s="56">
        <f t="shared" si="5"/>
        <v>166700</v>
      </c>
      <c r="H39" s="56">
        <f t="shared" si="5"/>
        <v>170600</v>
      </c>
      <c r="I39" s="56">
        <f t="shared" si="5"/>
        <v>170600</v>
      </c>
    </row>
    <row r="40" spans="1:9" ht="31.5" customHeight="1">
      <c r="A40" s="38" t="s">
        <v>251</v>
      </c>
      <c r="B40" s="39" t="s">
        <v>22</v>
      </c>
      <c r="C40" s="39" t="s">
        <v>252</v>
      </c>
      <c r="D40" s="39" t="s">
        <v>243</v>
      </c>
      <c r="E40" s="39"/>
      <c r="F40" s="56">
        <f t="shared" si="5"/>
        <v>166700</v>
      </c>
      <c r="G40" s="56">
        <f t="shared" si="5"/>
        <v>166700</v>
      </c>
      <c r="H40" s="56">
        <f t="shared" si="5"/>
        <v>170600</v>
      </c>
      <c r="I40" s="56">
        <f t="shared" si="5"/>
        <v>170600</v>
      </c>
    </row>
    <row r="41" spans="1:9" ht="15.75">
      <c r="A41" s="38" t="s">
        <v>253</v>
      </c>
      <c r="B41" s="39" t="s">
        <v>22</v>
      </c>
      <c r="C41" s="39" t="s">
        <v>252</v>
      </c>
      <c r="D41" s="39" t="s">
        <v>254</v>
      </c>
      <c r="E41" s="39"/>
      <c r="F41" s="56">
        <f t="shared" si="5"/>
        <v>166700</v>
      </c>
      <c r="G41" s="56">
        <f t="shared" si="5"/>
        <v>166700</v>
      </c>
      <c r="H41" s="56">
        <f t="shared" si="5"/>
        <v>170600</v>
      </c>
      <c r="I41" s="56">
        <f t="shared" si="5"/>
        <v>170600</v>
      </c>
    </row>
    <row r="42" spans="1:9" ht="15.75">
      <c r="A42" s="38" t="s">
        <v>0</v>
      </c>
      <c r="B42" s="39" t="s">
        <v>22</v>
      </c>
      <c r="C42" s="39" t="s">
        <v>252</v>
      </c>
      <c r="D42" s="39" t="s">
        <v>254</v>
      </c>
      <c r="E42" s="39" t="s">
        <v>257</v>
      </c>
      <c r="F42" s="56">
        <f>130000+36700</f>
        <v>166700</v>
      </c>
      <c r="G42" s="56">
        <f>F42</f>
        <v>166700</v>
      </c>
      <c r="H42" s="56">
        <f>118500+52100</f>
        <v>170600</v>
      </c>
      <c r="I42" s="56">
        <f>H42</f>
        <v>170600</v>
      </c>
    </row>
    <row r="43" spans="1:9" ht="63">
      <c r="A43" s="38" t="s">
        <v>4</v>
      </c>
      <c r="B43" s="39" t="s">
        <v>23</v>
      </c>
      <c r="C43" s="39"/>
      <c r="D43" s="39"/>
      <c r="E43" s="39"/>
      <c r="F43" s="56">
        <f aca="true" t="shared" si="6" ref="F43:I45">F44</f>
        <v>59583900</v>
      </c>
      <c r="G43" s="56">
        <f t="shared" si="6"/>
        <v>59583900</v>
      </c>
      <c r="H43" s="56">
        <f t="shared" si="6"/>
        <v>65694100</v>
      </c>
      <c r="I43" s="56">
        <f t="shared" si="6"/>
        <v>65694100</v>
      </c>
    </row>
    <row r="44" spans="1:9" ht="47.25">
      <c r="A44" s="38" t="s">
        <v>251</v>
      </c>
      <c r="B44" s="39" t="s">
        <v>23</v>
      </c>
      <c r="C44" s="39" t="s">
        <v>252</v>
      </c>
      <c r="D44" s="39" t="s">
        <v>243</v>
      </c>
      <c r="E44" s="39"/>
      <c r="F44" s="56">
        <f t="shared" si="6"/>
        <v>59583900</v>
      </c>
      <c r="G44" s="56">
        <f t="shared" si="6"/>
        <v>59583900</v>
      </c>
      <c r="H44" s="56">
        <f t="shared" si="6"/>
        <v>65694100</v>
      </c>
      <c r="I44" s="56">
        <f t="shared" si="6"/>
        <v>65694100</v>
      </c>
    </row>
    <row r="45" spans="1:9" ht="15.75">
      <c r="A45" s="38" t="s">
        <v>253</v>
      </c>
      <c r="B45" s="39" t="s">
        <v>23</v>
      </c>
      <c r="C45" s="39" t="s">
        <v>252</v>
      </c>
      <c r="D45" s="39" t="s">
        <v>254</v>
      </c>
      <c r="E45" s="39"/>
      <c r="F45" s="56">
        <f t="shared" si="6"/>
        <v>59583900</v>
      </c>
      <c r="G45" s="56">
        <f t="shared" si="6"/>
        <v>59583900</v>
      </c>
      <c r="H45" s="56">
        <f t="shared" si="6"/>
        <v>65694100</v>
      </c>
      <c r="I45" s="56">
        <f t="shared" si="6"/>
        <v>65694100</v>
      </c>
    </row>
    <row r="46" spans="1:9" ht="15.75">
      <c r="A46" s="38" t="s">
        <v>0</v>
      </c>
      <c r="B46" s="39" t="s">
        <v>23</v>
      </c>
      <c r="C46" s="39" t="s">
        <v>252</v>
      </c>
      <c r="D46" s="39" t="s">
        <v>254</v>
      </c>
      <c r="E46" s="39" t="s">
        <v>257</v>
      </c>
      <c r="F46" s="56">
        <f>67362100-5401200-2377000</f>
        <v>59583900</v>
      </c>
      <c r="G46" s="56">
        <f>F46</f>
        <v>59583900</v>
      </c>
      <c r="H46" s="56">
        <f>69763000-3279800-789100</f>
        <v>65694100</v>
      </c>
      <c r="I46" s="56">
        <f>H46</f>
        <v>65694100</v>
      </c>
    </row>
    <row r="47" spans="1:9" ht="31.5">
      <c r="A47" s="38" t="s">
        <v>7</v>
      </c>
      <c r="B47" s="39" t="s">
        <v>24</v>
      </c>
      <c r="C47" s="39"/>
      <c r="D47" s="39"/>
      <c r="E47" s="39"/>
      <c r="F47" s="56">
        <f aca="true" t="shared" si="7" ref="F47:I49">F48</f>
        <v>1595600</v>
      </c>
      <c r="G47" s="56">
        <f t="shared" si="7"/>
        <v>1595600</v>
      </c>
      <c r="H47" s="56">
        <f t="shared" si="7"/>
        <v>1595600</v>
      </c>
      <c r="I47" s="56">
        <f t="shared" si="7"/>
        <v>1595600</v>
      </c>
    </row>
    <row r="48" spans="1:9" ht="47.25">
      <c r="A48" s="38" t="s">
        <v>251</v>
      </c>
      <c r="B48" s="39" t="s">
        <v>24</v>
      </c>
      <c r="C48" s="39" t="s">
        <v>252</v>
      </c>
      <c r="D48" s="39" t="s">
        <v>243</v>
      </c>
      <c r="E48" s="39"/>
      <c r="F48" s="56">
        <f t="shared" si="7"/>
        <v>1595600</v>
      </c>
      <c r="G48" s="56">
        <f t="shared" si="7"/>
        <v>1595600</v>
      </c>
      <c r="H48" s="56">
        <f t="shared" si="7"/>
        <v>1595600</v>
      </c>
      <c r="I48" s="56">
        <f t="shared" si="7"/>
        <v>1595600</v>
      </c>
    </row>
    <row r="49" spans="1:9" ht="15.75">
      <c r="A49" s="38" t="s">
        <v>253</v>
      </c>
      <c r="B49" s="39" t="s">
        <v>24</v>
      </c>
      <c r="C49" s="39" t="s">
        <v>252</v>
      </c>
      <c r="D49" s="39" t="s">
        <v>254</v>
      </c>
      <c r="E49" s="39"/>
      <c r="F49" s="56">
        <f t="shared" si="7"/>
        <v>1595600</v>
      </c>
      <c r="G49" s="56">
        <f t="shared" si="7"/>
        <v>1595600</v>
      </c>
      <c r="H49" s="56">
        <f t="shared" si="7"/>
        <v>1595600</v>
      </c>
      <c r="I49" s="56">
        <f t="shared" si="7"/>
        <v>1595600</v>
      </c>
    </row>
    <row r="50" spans="1:9" ht="15.75">
      <c r="A50" s="38" t="s">
        <v>0</v>
      </c>
      <c r="B50" s="39" t="s">
        <v>24</v>
      </c>
      <c r="C50" s="39" t="s">
        <v>252</v>
      </c>
      <c r="D50" s="39" t="s">
        <v>254</v>
      </c>
      <c r="E50" s="39" t="s">
        <v>257</v>
      </c>
      <c r="F50" s="56">
        <f>1258900+336700</f>
        <v>1595600</v>
      </c>
      <c r="G50" s="56">
        <f>F50</f>
        <v>1595600</v>
      </c>
      <c r="H50" s="56">
        <f>1258900+336700</f>
        <v>1595600</v>
      </c>
      <c r="I50" s="56">
        <f>H50</f>
        <v>1595600</v>
      </c>
    </row>
    <row r="51" spans="1:9" ht="130.5" customHeight="1">
      <c r="A51" s="38" t="s">
        <v>332</v>
      </c>
      <c r="B51" s="39" t="s">
        <v>25</v>
      </c>
      <c r="C51" s="39"/>
      <c r="D51" s="39"/>
      <c r="E51" s="39"/>
      <c r="F51" s="56">
        <f aca="true" t="shared" si="8" ref="F51:I53">F52</f>
        <v>63300</v>
      </c>
      <c r="G51" s="56">
        <f t="shared" si="8"/>
        <v>63300</v>
      </c>
      <c r="H51" s="56">
        <f t="shared" si="8"/>
        <v>63700</v>
      </c>
      <c r="I51" s="56">
        <f t="shared" si="8"/>
        <v>63700</v>
      </c>
    </row>
    <row r="52" spans="1:9" ht="47.25">
      <c r="A52" s="38" t="s">
        <v>251</v>
      </c>
      <c r="B52" s="39" t="s">
        <v>25</v>
      </c>
      <c r="C52" s="39" t="s">
        <v>252</v>
      </c>
      <c r="D52" s="39"/>
      <c r="E52" s="39"/>
      <c r="F52" s="56">
        <f t="shared" si="8"/>
        <v>63300</v>
      </c>
      <c r="G52" s="56">
        <f t="shared" si="8"/>
        <v>63300</v>
      </c>
      <c r="H52" s="56">
        <f t="shared" si="8"/>
        <v>63700</v>
      </c>
      <c r="I52" s="56">
        <f t="shared" si="8"/>
        <v>63700</v>
      </c>
    </row>
    <row r="53" spans="1:9" ht="15.75">
      <c r="A53" s="38" t="s">
        <v>264</v>
      </c>
      <c r="B53" s="39" t="s">
        <v>25</v>
      </c>
      <c r="C53" s="39" t="s">
        <v>252</v>
      </c>
      <c r="D53" s="39" t="s">
        <v>265</v>
      </c>
      <c r="E53" s="39"/>
      <c r="F53" s="56">
        <f t="shared" si="8"/>
        <v>63300</v>
      </c>
      <c r="G53" s="56">
        <f t="shared" si="8"/>
        <v>63300</v>
      </c>
      <c r="H53" s="56">
        <f t="shared" si="8"/>
        <v>63700</v>
      </c>
      <c r="I53" s="56">
        <f t="shared" si="8"/>
        <v>63700</v>
      </c>
    </row>
    <row r="54" spans="1:9" ht="15.75">
      <c r="A54" s="38" t="s">
        <v>1</v>
      </c>
      <c r="B54" s="39" t="s">
        <v>25</v>
      </c>
      <c r="C54" s="39" t="s">
        <v>252</v>
      </c>
      <c r="D54" s="39" t="s">
        <v>265</v>
      </c>
      <c r="E54" s="39" t="s">
        <v>269</v>
      </c>
      <c r="F54" s="56">
        <f>59100-14600+18800</f>
        <v>63300</v>
      </c>
      <c r="G54" s="56">
        <f>F54</f>
        <v>63300</v>
      </c>
      <c r="H54" s="56">
        <f>59600-15100+19200</f>
        <v>63700</v>
      </c>
      <c r="I54" s="56">
        <f>H54</f>
        <v>63700</v>
      </c>
    </row>
    <row r="55" spans="1:9" ht="67.5" customHeight="1">
      <c r="A55" s="38" t="s">
        <v>333</v>
      </c>
      <c r="B55" s="39" t="s">
        <v>26</v>
      </c>
      <c r="C55" s="39"/>
      <c r="D55" s="39"/>
      <c r="E55" s="39"/>
      <c r="F55" s="56">
        <f aca="true" t="shared" si="9" ref="F55:I57">F56</f>
        <v>2531300</v>
      </c>
      <c r="G55" s="56">
        <f t="shared" si="9"/>
        <v>2531300</v>
      </c>
      <c r="H55" s="56">
        <f t="shared" si="9"/>
        <v>2549300</v>
      </c>
      <c r="I55" s="56">
        <f t="shared" si="9"/>
        <v>2549300</v>
      </c>
    </row>
    <row r="56" spans="1:9" ht="47.25">
      <c r="A56" s="38" t="s">
        <v>251</v>
      </c>
      <c r="B56" s="39" t="s">
        <v>26</v>
      </c>
      <c r="C56" s="39" t="s">
        <v>252</v>
      </c>
      <c r="D56" s="39"/>
      <c r="E56" s="39"/>
      <c r="F56" s="56">
        <f t="shared" si="9"/>
        <v>2531300</v>
      </c>
      <c r="G56" s="56">
        <f t="shared" si="9"/>
        <v>2531300</v>
      </c>
      <c r="H56" s="56">
        <f t="shared" si="9"/>
        <v>2549300</v>
      </c>
      <c r="I56" s="56">
        <f t="shared" si="9"/>
        <v>2549300</v>
      </c>
    </row>
    <row r="57" spans="1:9" ht="15.75">
      <c r="A57" s="38" t="s">
        <v>264</v>
      </c>
      <c r="B57" s="39" t="s">
        <v>26</v>
      </c>
      <c r="C57" s="39" t="s">
        <v>252</v>
      </c>
      <c r="D57" s="39" t="s">
        <v>265</v>
      </c>
      <c r="E57" s="39"/>
      <c r="F57" s="56">
        <f t="shared" si="9"/>
        <v>2531300</v>
      </c>
      <c r="G57" s="56">
        <f t="shared" si="9"/>
        <v>2531300</v>
      </c>
      <c r="H57" s="56">
        <f t="shared" si="9"/>
        <v>2549300</v>
      </c>
      <c r="I57" s="56">
        <f t="shared" si="9"/>
        <v>2549300</v>
      </c>
    </row>
    <row r="58" spans="1:9" ht="15.75">
      <c r="A58" s="38" t="s">
        <v>1</v>
      </c>
      <c r="B58" s="39" t="s">
        <v>26</v>
      </c>
      <c r="C58" s="39" t="s">
        <v>252</v>
      </c>
      <c r="D58" s="39" t="s">
        <v>265</v>
      </c>
      <c r="E58" s="39" t="s">
        <v>269</v>
      </c>
      <c r="F58" s="56">
        <f>2365300-585200+751200</f>
        <v>2531300</v>
      </c>
      <c r="G58" s="56">
        <f>F58</f>
        <v>2531300</v>
      </c>
      <c r="H58" s="56">
        <f>2382200-602100+769200</f>
        <v>2549300</v>
      </c>
      <c r="I58" s="56">
        <f>H58</f>
        <v>2549300</v>
      </c>
    </row>
    <row r="59" spans="1:9" ht="55.5" customHeight="1">
      <c r="A59" s="38" t="s">
        <v>5</v>
      </c>
      <c r="B59" s="39" t="s">
        <v>27</v>
      </c>
      <c r="C59" s="39"/>
      <c r="D59" s="39"/>
      <c r="E59" s="39"/>
      <c r="F59" s="56">
        <f aca="true" t="shared" si="10" ref="F59:I61">F60</f>
        <v>42230200</v>
      </c>
      <c r="G59" s="56">
        <f t="shared" si="10"/>
        <v>42230200</v>
      </c>
      <c r="H59" s="56">
        <f t="shared" si="10"/>
        <v>44940700</v>
      </c>
      <c r="I59" s="56">
        <f t="shared" si="10"/>
        <v>44940700</v>
      </c>
    </row>
    <row r="60" spans="1:9" ht="47.25">
      <c r="A60" s="38" t="s">
        <v>251</v>
      </c>
      <c r="B60" s="39" t="s">
        <v>27</v>
      </c>
      <c r="C60" s="39" t="s">
        <v>252</v>
      </c>
      <c r="D60" s="39" t="s">
        <v>243</v>
      </c>
      <c r="E60" s="39"/>
      <c r="F60" s="56">
        <f t="shared" si="10"/>
        <v>42230200</v>
      </c>
      <c r="G60" s="56">
        <f t="shared" si="10"/>
        <v>42230200</v>
      </c>
      <c r="H60" s="56">
        <f t="shared" si="10"/>
        <v>44940700</v>
      </c>
      <c r="I60" s="56">
        <f t="shared" si="10"/>
        <v>44940700</v>
      </c>
    </row>
    <row r="61" spans="1:9" ht="15.75">
      <c r="A61" s="38" t="s">
        <v>253</v>
      </c>
      <c r="B61" s="39" t="s">
        <v>27</v>
      </c>
      <c r="C61" s="39" t="s">
        <v>252</v>
      </c>
      <c r="D61" s="39" t="s">
        <v>254</v>
      </c>
      <c r="E61" s="39"/>
      <c r="F61" s="56">
        <f t="shared" si="10"/>
        <v>42230200</v>
      </c>
      <c r="G61" s="56">
        <f t="shared" si="10"/>
        <v>42230200</v>
      </c>
      <c r="H61" s="56">
        <f t="shared" si="10"/>
        <v>44940700</v>
      </c>
      <c r="I61" s="56">
        <f t="shared" si="10"/>
        <v>44940700</v>
      </c>
    </row>
    <row r="62" spans="1:9" ht="15.75">
      <c r="A62" s="38" t="s">
        <v>2</v>
      </c>
      <c r="B62" s="39" t="s">
        <v>27</v>
      </c>
      <c r="C62" s="39" t="s">
        <v>252</v>
      </c>
      <c r="D62" s="39" t="s">
        <v>254</v>
      </c>
      <c r="E62" s="39" t="s">
        <v>268</v>
      </c>
      <c r="F62" s="56">
        <f>39781500+1511900+1511900+1223300-1798400</f>
        <v>42230200</v>
      </c>
      <c r="G62" s="56">
        <f>F62</f>
        <v>42230200</v>
      </c>
      <c r="H62" s="56">
        <f>41404500+1966900+1966900+1249100-1646700</f>
        <v>44940700</v>
      </c>
      <c r="I62" s="56">
        <f>H62</f>
        <v>44940700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260</v>
      </c>
      <c r="B65" s="39" t="s">
        <v>33</v>
      </c>
      <c r="C65" s="39" t="s">
        <v>261</v>
      </c>
      <c r="D65" s="39"/>
      <c r="E65" s="39"/>
      <c r="F65" s="56">
        <f>F66</f>
        <v>150000</v>
      </c>
      <c r="G65" s="56">
        <v>0</v>
      </c>
      <c r="H65" s="56">
        <f>H66</f>
        <v>150000</v>
      </c>
      <c r="I65" s="56">
        <v>0</v>
      </c>
    </row>
    <row r="66" spans="1:9" ht="15.75">
      <c r="A66" s="38" t="s">
        <v>253</v>
      </c>
      <c r="B66" s="39" t="s">
        <v>33</v>
      </c>
      <c r="C66" s="39" t="s">
        <v>261</v>
      </c>
      <c r="D66" s="39" t="s">
        <v>254</v>
      </c>
      <c r="E66" s="39"/>
      <c r="F66" s="56">
        <f>F67</f>
        <v>150000</v>
      </c>
      <c r="G66" s="56">
        <v>0</v>
      </c>
      <c r="H66" s="56">
        <f>H67</f>
        <v>150000</v>
      </c>
      <c r="I66" s="56">
        <v>0</v>
      </c>
    </row>
    <row r="67" spans="1:9" ht="15.75">
      <c r="A67" s="38" t="s">
        <v>267</v>
      </c>
      <c r="B67" s="39" t="s">
        <v>33</v>
      </c>
      <c r="C67" s="39" t="s">
        <v>261</v>
      </c>
      <c r="D67" s="39" t="s">
        <v>254</v>
      </c>
      <c r="E67" s="39" t="s">
        <v>254</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260</v>
      </c>
      <c r="B70" s="39" t="s">
        <v>32</v>
      </c>
      <c r="C70" s="39" t="s">
        <v>261</v>
      </c>
      <c r="D70" s="39"/>
      <c r="E70" s="39"/>
      <c r="F70" s="56">
        <f>F71</f>
        <v>7000</v>
      </c>
      <c r="G70" s="56">
        <v>0</v>
      </c>
      <c r="H70" s="56">
        <f>H71</f>
        <v>7000</v>
      </c>
      <c r="I70" s="56">
        <v>0</v>
      </c>
    </row>
    <row r="71" spans="1:9" ht="15.75">
      <c r="A71" s="38" t="s">
        <v>253</v>
      </c>
      <c r="B71" s="39" t="s">
        <v>32</v>
      </c>
      <c r="C71" s="39" t="s">
        <v>261</v>
      </c>
      <c r="D71" s="39" t="s">
        <v>254</v>
      </c>
      <c r="E71" s="39"/>
      <c r="F71" s="56">
        <f>F72</f>
        <v>7000</v>
      </c>
      <c r="G71" s="56">
        <v>0</v>
      </c>
      <c r="H71" s="56">
        <f>H72</f>
        <v>7000</v>
      </c>
      <c r="I71" s="56">
        <v>0</v>
      </c>
    </row>
    <row r="72" spans="1:9" ht="15.75">
      <c r="A72" s="38" t="s">
        <v>255</v>
      </c>
      <c r="B72" s="39" t="s">
        <v>32</v>
      </c>
      <c r="C72" s="39" t="s">
        <v>261</v>
      </c>
      <c r="D72" s="39" t="s">
        <v>254</v>
      </c>
      <c r="E72" s="39" t="s">
        <v>256</v>
      </c>
      <c r="F72" s="56">
        <v>7000</v>
      </c>
      <c r="G72" s="56">
        <v>0</v>
      </c>
      <c r="H72" s="56">
        <v>7000</v>
      </c>
      <c r="I72" s="56">
        <v>0</v>
      </c>
    </row>
    <row r="73" spans="1:9" ht="47.25">
      <c r="A73" s="38" t="s">
        <v>251</v>
      </c>
      <c r="B73" s="39" t="s">
        <v>32</v>
      </c>
      <c r="C73" s="39" t="s">
        <v>252</v>
      </c>
      <c r="D73" s="39" t="s">
        <v>243</v>
      </c>
      <c r="E73" s="39"/>
      <c r="F73" s="56">
        <f>F74</f>
        <v>60000</v>
      </c>
      <c r="G73" s="56">
        <v>0</v>
      </c>
      <c r="H73" s="56">
        <f>H74</f>
        <v>60000</v>
      </c>
      <c r="I73" s="56">
        <v>0</v>
      </c>
    </row>
    <row r="74" spans="1:9" ht="15.75">
      <c r="A74" s="38" t="s">
        <v>253</v>
      </c>
      <c r="B74" s="39" t="s">
        <v>32</v>
      </c>
      <c r="C74" s="39" t="s">
        <v>252</v>
      </c>
      <c r="D74" s="39" t="s">
        <v>254</v>
      </c>
      <c r="E74" s="39"/>
      <c r="F74" s="56">
        <f>F75</f>
        <v>60000</v>
      </c>
      <c r="G74" s="56">
        <v>0</v>
      </c>
      <c r="H74" s="56">
        <f>H75</f>
        <v>60000</v>
      </c>
      <c r="I74" s="56">
        <v>0</v>
      </c>
    </row>
    <row r="75" spans="1:9" ht="15.75">
      <c r="A75" s="38" t="s">
        <v>255</v>
      </c>
      <c r="B75" s="39" t="s">
        <v>32</v>
      </c>
      <c r="C75" s="39" t="s">
        <v>252</v>
      </c>
      <c r="D75" s="39" t="s">
        <v>254</v>
      </c>
      <c r="E75" s="39" t="s">
        <v>256</v>
      </c>
      <c r="F75" s="56">
        <v>60000</v>
      </c>
      <c r="G75" s="56">
        <v>0</v>
      </c>
      <c r="H75" s="56">
        <v>60000</v>
      </c>
      <c r="I75" s="56">
        <v>0</v>
      </c>
    </row>
    <row r="76" spans="1:9" s="11" customFormat="1" ht="31.5">
      <c r="A76" s="19" t="s">
        <v>131</v>
      </c>
      <c r="B76" s="18" t="s">
        <v>34</v>
      </c>
      <c r="C76" s="18"/>
      <c r="D76" s="18"/>
      <c r="E76" s="18"/>
      <c r="F76" s="59">
        <f>F77+F84</f>
        <v>736500</v>
      </c>
      <c r="G76" s="59">
        <f>G77+G84</f>
        <v>278300</v>
      </c>
      <c r="H76" s="59">
        <f>H77+H84</f>
        <v>749400</v>
      </c>
      <c r="I76" s="59">
        <f>I77+I84</f>
        <v>291200</v>
      </c>
    </row>
    <row r="77" spans="1:9" ht="31.5">
      <c r="A77" s="38" t="s">
        <v>36</v>
      </c>
      <c r="B77" s="39" t="s">
        <v>35</v>
      </c>
      <c r="C77" s="39"/>
      <c r="D77" s="39"/>
      <c r="E77" s="39"/>
      <c r="F77" s="56">
        <f>F78+F81</f>
        <v>458200</v>
      </c>
      <c r="G77" s="56">
        <v>0</v>
      </c>
      <c r="H77" s="56">
        <f>H78+H81</f>
        <v>458200</v>
      </c>
      <c r="I77" s="56">
        <v>0</v>
      </c>
    </row>
    <row r="78" spans="1:9" ht="31.5">
      <c r="A78" s="38" t="s">
        <v>260</v>
      </c>
      <c r="B78" s="39" t="s">
        <v>35</v>
      </c>
      <c r="C78" s="39" t="s">
        <v>261</v>
      </c>
      <c r="D78" s="39"/>
      <c r="E78" s="39"/>
      <c r="F78" s="56">
        <f>F79</f>
        <v>338200</v>
      </c>
      <c r="G78" s="56">
        <v>0</v>
      </c>
      <c r="H78" s="56">
        <f>H79</f>
        <v>338200</v>
      </c>
      <c r="I78" s="56">
        <v>0</v>
      </c>
    </row>
    <row r="79" spans="1:9" ht="15.75">
      <c r="A79" s="38" t="s">
        <v>253</v>
      </c>
      <c r="B79" s="39" t="s">
        <v>35</v>
      </c>
      <c r="C79" s="39" t="s">
        <v>261</v>
      </c>
      <c r="D79" s="39" t="s">
        <v>254</v>
      </c>
      <c r="E79" s="39"/>
      <c r="F79" s="56">
        <f>F80</f>
        <v>338200</v>
      </c>
      <c r="G79" s="56"/>
      <c r="H79" s="56">
        <f>H80</f>
        <v>338200</v>
      </c>
      <c r="I79" s="56">
        <v>0</v>
      </c>
    </row>
    <row r="80" spans="1:9" ht="15.75">
      <c r="A80" s="22" t="s">
        <v>267</v>
      </c>
      <c r="B80" s="39" t="s">
        <v>35</v>
      </c>
      <c r="C80" s="39" t="s">
        <v>261</v>
      </c>
      <c r="D80" s="39" t="s">
        <v>254</v>
      </c>
      <c r="E80" s="39" t="s">
        <v>254</v>
      </c>
      <c r="F80" s="56">
        <v>338200</v>
      </c>
      <c r="G80" s="56">
        <v>0</v>
      </c>
      <c r="H80" s="56">
        <v>338200</v>
      </c>
      <c r="I80" s="56">
        <v>0</v>
      </c>
    </row>
    <row r="81" spans="1:9" ht="47.25">
      <c r="A81" s="38" t="s">
        <v>251</v>
      </c>
      <c r="B81" s="39" t="s">
        <v>35</v>
      </c>
      <c r="C81" s="39" t="s">
        <v>252</v>
      </c>
      <c r="D81" s="39" t="s">
        <v>243</v>
      </c>
      <c r="E81" s="39"/>
      <c r="F81" s="56">
        <f>F82</f>
        <v>120000</v>
      </c>
      <c r="G81" s="56">
        <v>0</v>
      </c>
      <c r="H81" s="56">
        <f>H82</f>
        <v>120000</v>
      </c>
      <c r="I81" s="56">
        <v>0</v>
      </c>
    </row>
    <row r="82" spans="1:9" ht="15.75">
      <c r="A82" s="38" t="s">
        <v>253</v>
      </c>
      <c r="B82" s="39" t="s">
        <v>35</v>
      </c>
      <c r="C82" s="39" t="s">
        <v>252</v>
      </c>
      <c r="D82" s="39" t="s">
        <v>254</v>
      </c>
      <c r="E82" s="39"/>
      <c r="F82" s="56">
        <f>F83</f>
        <v>120000</v>
      </c>
      <c r="G82" s="56">
        <v>0</v>
      </c>
      <c r="H82" s="56">
        <f>H83</f>
        <v>120000</v>
      </c>
      <c r="I82" s="56">
        <v>0</v>
      </c>
    </row>
    <row r="83" spans="1:9" ht="15.75">
      <c r="A83" s="38" t="s">
        <v>267</v>
      </c>
      <c r="B83" s="39" t="s">
        <v>35</v>
      </c>
      <c r="C83" s="39" t="s">
        <v>252</v>
      </c>
      <c r="D83" s="39" t="s">
        <v>254</v>
      </c>
      <c r="E83" s="39" t="s">
        <v>254</v>
      </c>
      <c r="F83" s="56">
        <v>120000</v>
      </c>
      <c r="G83" s="56">
        <v>0</v>
      </c>
      <c r="H83" s="56">
        <v>120000</v>
      </c>
      <c r="I83" s="56">
        <v>0</v>
      </c>
    </row>
    <row r="84" spans="1:9" ht="63">
      <c r="A84" s="38" t="s">
        <v>3</v>
      </c>
      <c r="B84" s="39" t="s">
        <v>37</v>
      </c>
      <c r="C84" s="39"/>
      <c r="D84" s="39"/>
      <c r="E84" s="39"/>
      <c r="F84" s="56">
        <f aca="true" t="shared" si="11" ref="F84:I86">F85</f>
        <v>278300</v>
      </c>
      <c r="G84" s="56">
        <f t="shared" si="11"/>
        <v>278300</v>
      </c>
      <c r="H84" s="56">
        <f t="shared" si="11"/>
        <v>291200</v>
      </c>
      <c r="I84" s="56">
        <f t="shared" si="11"/>
        <v>291200</v>
      </c>
    </row>
    <row r="85" spans="1:9" ht="36" customHeight="1">
      <c r="A85" s="38" t="s">
        <v>251</v>
      </c>
      <c r="B85" s="39" t="s">
        <v>37</v>
      </c>
      <c r="C85" s="39" t="s">
        <v>252</v>
      </c>
      <c r="D85" s="39" t="s">
        <v>243</v>
      </c>
      <c r="E85" s="39"/>
      <c r="F85" s="56">
        <f t="shared" si="11"/>
        <v>278300</v>
      </c>
      <c r="G85" s="56">
        <f t="shared" si="11"/>
        <v>278300</v>
      </c>
      <c r="H85" s="56">
        <f t="shared" si="11"/>
        <v>291200</v>
      </c>
      <c r="I85" s="56">
        <f t="shared" si="11"/>
        <v>291200</v>
      </c>
    </row>
    <row r="86" spans="1:9" ht="15.75">
      <c r="A86" s="38" t="s">
        <v>253</v>
      </c>
      <c r="B86" s="39" t="s">
        <v>37</v>
      </c>
      <c r="C86" s="39" t="s">
        <v>252</v>
      </c>
      <c r="D86" s="39" t="s">
        <v>254</v>
      </c>
      <c r="E86" s="39"/>
      <c r="F86" s="56">
        <f t="shared" si="11"/>
        <v>278300</v>
      </c>
      <c r="G86" s="56">
        <f t="shared" si="11"/>
        <v>278300</v>
      </c>
      <c r="H86" s="56">
        <f t="shared" si="11"/>
        <v>291200</v>
      </c>
      <c r="I86" s="56">
        <f t="shared" si="11"/>
        <v>291200</v>
      </c>
    </row>
    <row r="87" spans="1:9" ht="15.75">
      <c r="A87" s="38" t="s">
        <v>267</v>
      </c>
      <c r="B87" s="39" t="s">
        <v>37</v>
      </c>
      <c r="C87" s="39" t="s">
        <v>252</v>
      </c>
      <c r="D87" s="39" t="s">
        <v>254</v>
      </c>
      <c r="E87" s="39" t="s">
        <v>254</v>
      </c>
      <c r="F87" s="56">
        <f>248600+29700</f>
        <v>278300</v>
      </c>
      <c r="G87" s="56">
        <f>F87</f>
        <v>278300</v>
      </c>
      <c r="H87" s="56">
        <f>248600+42600</f>
        <v>291200</v>
      </c>
      <c r="I87" s="56">
        <f>H87</f>
        <v>291200</v>
      </c>
    </row>
    <row r="88" spans="1:9" s="11" customFormat="1" ht="78.75">
      <c r="A88" s="19" t="s">
        <v>292</v>
      </c>
      <c r="B88" s="18" t="s">
        <v>38</v>
      </c>
      <c r="C88" s="18"/>
      <c r="D88" s="18"/>
      <c r="E88" s="18"/>
      <c r="F88" s="59">
        <f>F89+F93+F101+F108+F97</f>
        <v>5890800</v>
      </c>
      <c r="G88" s="59">
        <f>G89+G93+G101+G108+G97</f>
        <v>903000</v>
      </c>
      <c r="H88" s="59">
        <f>H89+H93+H101+H108+H97</f>
        <v>5890800</v>
      </c>
      <c r="I88" s="59">
        <f>I89+I93+I101+I108+I97</f>
        <v>903000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271</v>
      </c>
      <c r="B90" s="39" t="s">
        <v>126</v>
      </c>
      <c r="C90" s="39" t="s">
        <v>272</v>
      </c>
      <c r="D90" s="23"/>
      <c r="E90" s="23"/>
      <c r="F90" s="56">
        <f>F91</f>
        <v>4960300</v>
      </c>
      <c r="G90" s="56">
        <v>0</v>
      </c>
      <c r="H90" s="56">
        <f>H91</f>
        <v>4960300</v>
      </c>
      <c r="I90" s="56">
        <v>0</v>
      </c>
    </row>
    <row r="91" spans="1:9" s="13" customFormat="1" ht="15.75">
      <c r="A91" s="38" t="s">
        <v>53</v>
      </c>
      <c r="B91" s="39" t="s">
        <v>126</v>
      </c>
      <c r="C91" s="39" t="s">
        <v>272</v>
      </c>
      <c r="D91" s="23" t="s">
        <v>268</v>
      </c>
      <c r="E91" s="23"/>
      <c r="F91" s="56">
        <f>F92</f>
        <v>4960300</v>
      </c>
      <c r="G91" s="56">
        <v>0</v>
      </c>
      <c r="H91" s="56">
        <f>H92</f>
        <v>4960300</v>
      </c>
      <c r="I91" s="56">
        <v>0</v>
      </c>
    </row>
    <row r="92" spans="1:9" s="13" customFormat="1" ht="63">
      <c r="A92" s="22" t="s">
        <v>125</v>
      </c>
      <c r="B92" s="39" t="s">
        <v>126</v>
      </c>
      <c r="C92" s="39" t="s">
        <v>272</v>
      </c>
      <c r="D92" s="23" t="s">
        <v>268</v>
      </c>
      <c r="E92" s="23" t="s">
        <v>269</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260</v>
      </c>
      <c r="B94" s="39" t="s">
        <v>130</v>
      </c>
      <c r="C94" s="23" t="s">
        <v>261</v>
      </c>
      <c r="D94" s="23"/>
      <c r="E94" s="23"/>
      <c r="F94" s="56">
        <f>F95</f>
        <v>2500</v>
      </c>
      <c r="G94" s="56">
        <v>0</v>
      </c>
      <c r="H94" s="56">
        <f>H95</f>
        <v>2500</v>
      </c>
      <c r="I94" s="56">
        <v>0</v>
      </c>
    </row>
    <row r="95" spans="1:9" s="13" customFormat="1" ht="15.75">
      <c r="A95" s="38" t="s">
        <v>53</v>
      </c>
      <c r="B95" s="39" t="s">
        <v>130</v>
      </c>
      <c r="C95" s="23" t="s">
        <v>261</v>
      </c>
      <c r="D95" s="23" t="s">
        <v>268</v>
      </c>
      <c r="E95" s="23"/>
      <c r="F95" s="56">
        <f>F96</f>
        <v>2500</v>
      </c>
      <c r="G95" s="56">
        <v>0</v>
      </c>
      <c r="H95" s="56">
        <f>H96</f>
        <v>2500</v>
      </c>
      <c r="I95" s="56">
        <v>0</v>
      </c>
    </row>
    <row r="96" spans="1:9" s="13" customFormat="1" ht="63">
      <c r="A96" s="22" t="s">
        <v>125</v>
      </c>
      <c r="B96" s="39" t="s">
        <v>130</v>
      </c>
      <c r="C96" s="23" t="s">
        <v>261</v>
      </c>
      <c r="D96" s="23" t="s">
        <v>268</v>
      </c>
      <c r="E96" s="23" t="s">
        <v>269</v>
      </c>
      <c r="F96" s="56">
        <v>2500</v>
      </c>
      <c r="G96" s="56">
        <v>0</v>
      </c>
      <c r="H96" s="56">
        <v>2500</v>
      </c>
      <c r="I96" s="56">
        <v>0</v>
      </c>
    </row>
    <row r="97" spans="1:9" s="13" customFormat="1" ht="63">
      <c r="A97" s="25" t="s">
        <v>323</v>
      </c>
      <c r="B97" s="21" t="s">
        <v>322</v>
      </c>
      <c r="C97" s="32"/>
      <c r="D97" s="32"/>
      <c r="E97" s="32"/>
      <c r="F97" s="44">
        <f>F98</f>
        <v>25000</v>
      </c>
      <c r="G97" s="44">
        <v>0</v>
      </c>
      <c r="H97" s="44">
        <f>H98</f>
        <v>25000</v>
      </c>
      <c r="I97" s="44">
        <v>0</v>
      </c>
    </row>
    <row r="98" spans="1:9" s="13" customFormat="1" ht="78.75">
      <c r="A98" s="25" t="s">
        <v>271</v>
      </c>
      <c r="B98" s="21" t="s">
        <v>322</v>
      </c>
      <c r="C98" s="32" t="s">
        <v>272</v>
      </c>
      <c r="D98" s="32"/>
      <c r="E98" s="32"/>
      <c r="F98" s="44">
        <f>F99</f>
        <v>25000</v>
      </c>
      <c r="G98" s="44">
        <v>0</v>
      </c>
      <c r="H98" s="44">
        <f>H99</f>
        <v>25000</v>
      </c>
      <c r="I98" s="44">
        <v>0</v>
      </c>
    </row>
    <row r="99" spans="1:9" s="13" customFormat="1" ht="15.75">
      <c r="A99" s="20" t="s">
        <v>53</v>
      </c>
      <c r="B99" s="21" t="s">
        <v>322</v>
      </c>
      <c r="C99" s="32" t="s">
        <v>272</v>
      </c>
      <c r="D99" s="32" t="s">
        <v>268</v>
      </c>
      <c r="E99" s="32"/>
      <c r="F99" s="44">
        <f>F100</f>
        <v>25000</v>
      </c>
      <c r="G99" s="44">
        <v>0</v>
      </c>
      <c r="H99" s="44">
        <f>H100</f>
        <v>25000</v>
      </c>
      <c r="I99" s="44">
        <v>0</v>
      </c>
    </row>
    <row r="100" spans="1:9" s="13" customFormat="1" ht="63">
      <c r="A100" s="22" t="s">
        <v>125</v>
      </c>
      <c r="B100" s="21" t="s">
        <v>322</v>
      </c>
      <c r="C100" s="32" t="s">
        <v>272</v>
      </c>
      <c r="D100" s="32" t="s">
        <v>268</v>
      </c>
      <c r="E100" s="32" t="s">
        <v>269</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271</v>
      </c>
      <c r="B102" s="39" t="s">
        <v>128</v>
      </c>
      <c r="C102" s="39" t="s">
        <v>272</v>
      </c>
      <c r="D102" s="23"/>
      <c r="E102" s="23"/>
      <c r="F102" s="56">
        <f aca="true" t="shared" si="12" ref="F102:I103">F103</f>
        <v>777500</v>
      </c>
      <c r="G102" s="56">
        <f t="shared" si="12"/>
        <v>777500</v>
      </c>
      <c r="H102" s="56">
        <f t="shared" si="12"/>
        <v>777500</v>
      </c>
      <c r="I102" s="56">
        <f t="shared" si="12"/>
        <v>777500</v>
      </c>
    </row>
    <row r="103" spans="1:9" s="13" customFormat="1" ht="15.75">
      <c r="A103" s="38" t="s">
        <v>264</v>
      </c>
      <c r="B103" s="39" t="s">
        <v>128</v>
      </c>
      <c r="C103" s="39" t="s">
        <v>272</v>
      </c>
      <c r="D103" s="23" t="s">
        <v>265</v>
      </c>
      <c r="E103" s="23"/>
      <c r="F103" s="56">
        <f t="shared" si="12"/>
        <v>777500</v>
      </c>
      <c r="G103" s="56">
        <f t="shared" si="12"/>
        <v>777500</v>
      </c>
      <c r="H103" s="56">
        <f t="shared" si="12"/>
        <v>777500</v>
      </c>
      <c r="I103" s="56">
        <f t="shared" si="12"/>
        <v>777500</v>
      </c>
    </row>
    <row r="104" spans="1:9" s="13" customFormat="1" ht="15.75">
      <c r="A104" s="38" t="s">
        <v>1</v>
      </c>
      <c r="B104" s="39" t="s">
        <v>128</v>
      </c>
      <c r="C104" s="39" t="s">
        <v>272</v>
      </c>
      <c r="D104" s="23" t="s">
        <v>265</v>
      </c>
      <c r="E104" s="23" t="s">
        <v>269</v>
      </c>
      <c r="F104" s="56">
        <v>777500</v>
      </c>
      <c r="G104" s="56">
        <v>777500</v>
      </c>
      <c r="H104" s="56">
        <v>777500</v>
      </c>
      <c r="I104" s="56">
        <v>777500</v>
      </c>
    </row>
    <row r="105" spans="1:9" ht="31.5">
      <c r="A105" s="22" t="s">
        <v>260</v>
      </c>
      <c r="B105" s="39" t="s">
        <v>128</v>
      </c>
      <c r="C105" s="23" t="s">
        <v>261</v>
      </c>
      <c r="D105" s="23"/>
      <c r="E105" s="23"/>
      <c r="F105" s="56">
        <f aca="true" t="shared" si="13" ref="F105:I106">F106</f>
        <v>103500</v>
      </c>
      <c r="G105" s="56">
        <f t="shared" si="13"/>
        <v>103500</v>
      </c>
      <c r="H105" s="56">
        <f t="shared" si="13"/>
        <v>103500</v>
      </c>
      <c r="I105" s="56">
        <f t="shared" si="13"/>
        <v>103500</v>
      </c>
    </row>
    <row r="106" spans="1:9" ht="15.75">
      <c r="A106" s="38" t="s">
        <v>264</v>
      </c>
      <c r="B106" s="39" t="s">
        <v>128</v>
      </c>
      <c r="C106" s="23" t="s">
        <v>261</v>
      </c>
      <c r="D106" s="23" t="s">
        <v>265</v>
      </c>
      <c r="E106" s="23"/>
      <c r="F106" s="56">
        <f t="shared" si="13"/>
        <v>103500</v>
      </c>
      <c r="G106" s="56">
        <f t="shared" si="13"/>
        <v>103500</v>
      </c>
      <c r="H106" s="56">
        <f t="shared" si="13"/>
        <v>103500</v>
      </c>
      <c r="I106" s="56">
        <f t="shared" si="13"/>
        <v>103500</v>
      </c>
    </row>
    <row r="107" spans="1:9" ht="15.75">
      <c r="A107" s="38" t="s">
        <v>1</v>
      </c>
      <c r="B107" s="39" t="s">
        <v>128</v>
      </c>
      <c r="C107" s="23" t="s">
        <v>261</v>
      </c>
      <c r="D107" s="23" t="s">
        <v>265</v>
      </c>
      <c r="E107" s="23" t="s">
        <v>269</v>
      </c>
      <c r="F107" s="56">
        <v>103500</v>
      </c>
      <c r="G107" s="56">
        <v>103500</v>
      </c>
      <c r="H107" s="56">
        <v>103500</v>
      </c>
      <c r="I107" s="56">
        <v>103500</v>
      </c>
    </row>
    <row r="108" spans="1:9" ht="110.25">
      <c r="A108" s="38" t="s">
        <v>47</v>
      </c>
      <c r="B108" s="39" t="s">
        <v>129</v>
      </c>
      <c r="C108" s="39"/>
      <c r="D108" s="39"/>
      <c r="E108" s="39"/>
      <c r="F108" s="56">
        <f aca="true" t="shared" si="14" ref="F108:I110">F109</f>
        <v>22000</v>
      </c>
      <c r="G108" s="56">
        <f t="shared" si="14"/>
        <v>22000</v>
      </c>
      <c r="H108" s="56">
        <f t="shared" si="14"/>
        <v>22000</v>
      </c>
      <c r="I108" s="56">
        <f t="shared" si="14"/>
        <v>22000</v>
      </c>
    </row>
    <row r="109" spans="1:9" ht="78.75">
      <c r="A109" s="22" t="s">
        <v>271</v>
      </c>
      <c r="B109" s="39" t="s">
        <v>129</v>
      </c>
      <c r="C109" s="39" t="s">
        <v>272</v>
      </c>
      <c r="D109" s="23"/>
      <c r="E109" s="23"/>
      <c r="F109" s="56">
        <f t="shared" si="14"/>
        <v>22000</v>
      </c>
      <c r="G109" s="56">
        <f t="shared" si="14"/>
        <v>22000</v>
      </c>
      <c r="H109" s="56">
        <f t="shared" si="14"/>
        <v>22000</v>
      </c>
      <c r="I109" s="56">
        <f t="shared" si="14"/>
        <v>22000</v>
      </c>
    </row>
    <row r="110" spans="1:9" ht="15.75">
      <c r="A110" s="38" t="s">
        <v>264</v>
      </c>
      <c r="B110" s="39" t="s">
        <v>129</v>
      </c>
      <c r="C110" s="39" t="s">
        <v>272</v>
      </c>
      <c r="D110" s="23" t="s">
        <v>265</v>
      </c>
      <c r="E110" s="23"/>
      <c r="F110" s="56">
        <f t="shared" si="14"/>
        <v>22000</v>
      </c>
      <c r="G110" s="56">
        <f t="shared" si="14"/>
        <v>22000</v>
      </c>
      <c r="H110" s="56">
        <f t="shared" si="14"/>
        <v>22000</v>
      </c>
      <c r="I110" s="56">
        <f t="shared" si="14"/>
        <v>22000</v>
      </c>
    </row>
    <row r="111" spans="1:9" ht="15.75">
      <c r="A111" s="38" t="s">
        <v>1</v>
      </c>
      <c r="B111" s="39" t="s">
        <v>129</v>
      </c>
      <c r="C111" s="39" t="s">
        <v>272</v>
      </c>
      <c r="D111" s="23" t="s">
        <v>265</v>
      </c>
      <c r="E111" s="23" t="s">
        <v>269</v>
      </c>
      <c r="F111" s="56">
        <f>8600+10298+3102</f>
        <v>22000</v>
      </c>
      <c r="G111" s="56">
        <f>F111</f>
        <v>22000</v>
      </c>
      <c r="H111" s="56">
        <f>8600+10298+3102</f>
        <v>22000</v>
      </c>
      <c r="I111" s="56">
        <f>H111</f>
        <v>22000</v>
      </c>
    </row>
    <row r="112" spans="1:9" s="11" customFormat="1" ht="63">
      <c r="A112" s="19" t="s">
        <v>304</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271</v>
      </c>
      <c r="B114" s="39" t="s">
        <v>133</v>
      </c>
      <c r="C114" s="39" t="s">
        <v>272</v>
      </c>
      <c r="D114" s="39"/>
      <c r="E114" s="39"/>
      <c r="F114" s="56">
        <f>F115</f>
        <v>8046100</v>
      </c>
      <c r="G114" s="56">
        <v>0</v>
      </c>
      <c r="H114" s="56">
        <f>H115</f>
        <v>8046100</v>
      </c>
      <c r="I114" s="56">
        <v>0</v>
      </c>
    </row>
    <row r="115" spans="1:9" ht="15.75">
      <c r="A115" s="38" t="s">
        <v>253</v>
      </c>
      <c r="B115" s="39" t="s">
        <v>133</v>
      </c>
      <c r="C115" s="39" t="s">
        <v>272</v>
      </c>
      <c r="D115" s="39" t="s">
        <v>254</v>
      </c>
      <c r="E115" s="39"/>
      <c r="F115" s="56">
        <f>F116</f>
        <v>8046100</v>
      </c>
      <c r="G115" s="56">
        <v>0</v>
      </c>
      <c r="H115" s="56">
        <f>H116</f>
        <v>8046100</v>
      </c>
      <c r="I115" s="56">
        <v>0</v>
      </c>
    </row>
    <row r="116" spans="1:9" ht="15.75">
      <c r="A116" s="38" t="s">
        <v>255</v>
      </c>
      <c r="B116" s="39" t="s">
        <v>133</v>
      </c>
      <c r="C116" s="39" t="s">
        <v>272</v>
      </c>
      <c r="D116" s="39" t="s">
        <v>254</v>
      </c>
      <c r="E116" s="39" t="s">
        <v>256</v>
      </c>
      <c r="F116" s="56">
        <v>8046100</v>
      </c>
      <c r="G116" s="56">
        <v>0</v>
      </c>
      <c r="H116" s="56">
        <v>8046100</v>
      </c>
      <c r="I116" s="56">
        <v>0</v>
      </c>
    </row>
    <row r="117" spans="1:9" ht="31.5">
      <c r="A117" s="22" t="s">
        <v>260</v>
      </c>
      <c r="B117" s="39" t="s">
        <v>133</v>
      </c>
      <c r="C117" s="23" t="s">
        <v>261</v>
      </c>
      <c r="D117" s="39"/>
      <c r="E117" s="39"/>
      <c r="F117" s="56">
        <f>F118</f>
        <v>249700</v>
      </c>
      <c r="G117" s="56">
        <v>0</v>
      </c>
      <c r="H117" s="56">
        <f>H118</f>
        <v>549700</v>
      </c>
      <c r="I117" s="56">
        <v>0</v>
      </c>
    </row>
    <row r="118" spans="1:9" ht="15.75">
      <c r="A118" s="22" t="s">
        <v>253</v>
      </c>
      <c r="B118" s="39" t="s">
        <v>133</v>
      </c>
      <c r="C118" s="23" t="s">
        <v>261</v>
      </c>
      <c r="D118" s="39" t="s">
        <v>254</v>
      </c>
      <c r="E118" s="39"/>
      <c r="F118" s="56">
        <f>F119</f>
        <v>249700</v>
      </c>
      <c r="G118" s="56">
        <v>0</v>
      </c>
      <c r="H118" s="56">
        <f>H119</f>
        <v>549700</v>
      </c>
      <c r="I118" s="56">
        <v>0</v>
      </c>
    </row>
    <row r="119" spans="1:9" ht="15.75">
      <c r="A119" s="38" t="s">
        <v>255</v>
      </c>
      <c r="B119" s="39" t="s">
        <v>133</v>
      </c>
      <c r="C119" s="23" t="s">
        <v>261</v>
      </c>
      <c r="D119" s="39" t="s">
        <v>254</v>
      </c>
      <c r="E119" s="39" t="s">
        <v>256</v>
      </c>
      <c r="F119" s="56">
        <v>249700</v>
      </c>
      <c r="G119" s="56">
        <v>0</v>
      </c>
      <c r="H119" s="56">
        <v>549700</v>
      </c>
      <c r="I119" s="56">
        <v>0</v>
      </c>
    </row>
    <row r="120" spans="1:9" s="11" customFormat="1" ht="63">
      <c r="A120" s="19" t="s">
        <v>319</v>
      </c>
      <c r="B120" s="18" t="s">
        <v>318</v>
      </c>
      <c r="C120" s="30"/>
      <c r="D120" s="30"/>
      <c r="E120" s="30"/>
      <c r="F120" s="59">
        <f aca="true" t="shared" si="15" ref="F120:H123">F121</f>
        <v>16421127</v>
      </c>
      <c r="G120" s="59">
        <v>0</v>
      </c>
      <c r="H120" s="59">
        <f t="shared" si="15"/>
        <v>16421129</v>
      </c>
      <c r="I120" s="59">
        <v>0</v>
      </c>
    </row>
    <row r="121" spans="1:9" s="11" customFormat="1" ht="63">
      <c r="A121" s="22" t="s">
        <v>14</v>
      </c>
      <c r="B121" s="23" t="s">
        <v>316</v>
      </c>
      <c r="C121" s="32"/>
      <c r="D121" s="31"/>
      <c r="E121" s="31"/>
      <c r="F121" s="56">
        <f t="shared" si="15"/>
        <v>16421127</v>
      </c>
      <c r="G121" s="56">
        <v>0</v>
      </c>
      <c r="H121" s="56">
        <f t="shared" si="15"/>
        <v>16421129</v>
      </c>
      <c r="I121" s="56">
        <v>0</v>
      </c>
    </row>
    <row r="122" spans="1:9" ht="47.25">
      <c r="A122" s="22" t="s">
        <v>251</v>
      </c>
      <c r="B122" s="23" t="s">
        <v>317</v>
      </c>
      <c r="C122" s="32" t="s">
        <v>252</v>
      </c>
      <c r="D122" s="31"/>
      <c r="E122" s="31"/>
      <c r="F122" s="56">
        <f t="shared" si="15"/>
        <v>16421127</v>
      </c>
      <c r="G122" s="56">
        <v>0</v>
      </c>
      <c r="H122" s="56">
        <f t="shared" si="15"/>
        <v>16421129</v>
      </c>
      <c r="I122" s="56">
        <v>0</v>
      </c>
    </row>
    <row r="123" spans="1:9" ht="19.5" customHeight="1">
      <c r="A123" s="22" t="s">
        <v>53</v>
      </c>
      <c r="B123" s="23" t="s">
        <v>316</v>
      </c>
      <c r="C123" s="32" t="s">
        <v>252</v>
      </c>
      <c r="D123" s="32" t="s">
        <v>268</v>
      </c>
      <c r="E123" s="31"/>
      <c r="F123" s="56">
        <f t="shared" si="15"/>
        <v>16421127</v>
      </c>
      <c r="G123" s="56">
        <v>0</v>
      </c>
      <c r="H123" s="56">
        <f t="shared" si="15"/>
        <v>16421129</v>
      </c>
      <c r="I123" s="56">
        <v>0</v>
      </c>
    </row>
    <row r="124" spans="1:9" ht="15.75">
      <c r="A124" s="22" t="s">
        <v>54</v>
      </c>
      <c r="B124" s="23" t="s">
        <v>316</v>
      </c>
      <c r="C124" s="32" t="s">
        <v>252</v>
      </c>
      <c r="D124" s="32" t="s">
        <v>268</v>
      </c>
      <c r="E124" s="32" t="s">
        <v>55</v>
      </c>
      <c r="F124" s="56">
        <f>16421127</f>
        <v>16421127</v>
      </c>
      <c r="G124" s="56">
        <v>0</v>
      </c>
      <c r="H124" s="56">
        <f>16421129</f>
        <v>16421129</v>
      </c>
      <c r="I124" s="56">
        <v>0</v>
      </c>
    </row>
    <row r="125" spans="1:9" ht="31.5">
      <c r="A125" s="17" t="s">
        <v>135</v>
      </c>
      <c r="B125" s="18" t="s">
        <v>134</v>
      </c>
      <c r="C125" s="18"/>
      <c r="D125" s="18"/>
      <c r="E125" s="18"/>
      <c r="F125" s="59">
        <f>F126+F156</f>
        <v>13287500</v>
      </c>
      <c r="G125" s="59">
        <f>G126+G156</f>
        <v>12756700</v>
      </c>
      <c r="H125" s="59">
        <f>H126+H156</f>
        <v>11821500</v>
      </c>
      <c r="I125" s="59">
        <f>I126+I156</f>
        <v>11274700</v>
      </c>
    </row>
    <row r="126" spans="1:9" ht="47.25">
      <c r="A126" s="19" t="s">
        <v>136</v>
      </c>
      <c r="B126" s="18" t="s">
        <v>137</v>
      </c>
      <c r="C126" s="18"/>
      <c r="D126" s="18"/>
      <c r="E126" s="18"/>
      <c r="F126" s="59">
        <f>F127+F131+F141+F145+F149</f>
        <v>9451400</v>
      </c>
      <c r="G126" s="59">
        <f>G127+G131+G141+G145+G149</f>
        <v>8980600</v>
      </c>
      <c r="H126" s="59">
        <f>H127+H131+H141+H145+H149</f>
        <v>7794100</v>
      </c>
      <c r="I126" s="59">
        <f>I127+I131+I141+I145+I149</f>
        <v>7322300</v>
      </c>
    </row>
    <row r="127" spans="1:9" ht="15.75">
      <c r="A127" s="38" t="s">
        <v>139</v>
      </c>
      <c r="B127" s="39" t="s">
        <v>138</v>
      </c>
      <c r="C127" s="39"/>
      <c r="D127" s="39"/>
      <c r="E127" s="39"/>
      <c r="F127" s="56">
        <f>F128</f>
        <v>159800</v>
      </c>
      <c r="G127" s="56">
        <v>0</v>
      </c>
      <c r="H127" s="56">
        <f>H128</f>
        <v>149800</v>
      </c>
      <c r="I127" s="56">
        <v>0</v>
      </c>
    </row>
    <row r="128" spans="1:9" ht="31.5">
      <c r="A128" s="38" t="s">
        <v>262</v>
      </c>
      <c r="B128" s="39" t="s">
        <v>138</v>
      </c>
      <c r="C128" s="39" t="s">
        <v>263</v>
      </c>
      <c r="D128" s="39"/>
      <c r="E128" s="39"/>
      <c r="F128" s="56">
        <f>F129</f>
        <v>159800</v>
      </c>
      <c r="G128" s="56">
        <v>0</v>
      </c>
      <c r="H128" s="56">
        <f>H129</f>
        <v>149800</v>
      </c>
      <c r="I128" s="56"/>
    </row>
    <row r="129" spans="1:9" ht="15.75">
      <c r="A129" s="38" t="s">
        <v>264</v>
      </c>
      <c r="B129" s="39" t="s">
        <v>138</v>
      </c>
      <c r="C129" s="39" t="s">
        <v>263</v>
      </c>
      <c r="D129" s="39" t="s">
        <v>265</v>
      </c>
      <c r="E129" s="39"/>
      <c r="F129" s="56">
        <f>F130</f>
        <v>159800</v>
      </c>
      <c r="G129" s="56">
        <v>0</v>
      </c>
      <c r="H129" s="56">
        <f>H130</f>
        <v>149800</v>
      </c>
      <c r="I129" s="56">
        <v>0</v>
      </c>
    </row>
    <row r="130" spans="1:9" ht="28.5" customHeight="1">
      <c r="A130" s="38" t="s">
        <v>9</v>
      </c>
      <c r="B130" s="39" t="s">
        <v>138</v>
      </c>
      <c r="C130" s="39" t="s">
        <v>263</v>
      </c>
      <c r="D130" s="39" t="s">
        <v>265</v>
      </c>
      <c r="E130" s="39" t="s">
        <v>268</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260</v>
      </c>
      <c r="B132" s="39" t="s">
        <v>140</v>
      </c>
      <c r="C132" s="39" t="s">
        <v>261</v>
      </c>
      <c r="D132" s="39"/>
      <c r="E132" s="39"/>
      <c r="F132" s="56">
        <f>F133</f>
        <v>19000</v>
      </c>
      <c r="G132" s="56">
        <v>0</v>
      </c>
      <c r="H132" s="56">
        <f>H133</f>
        <v>30000</v>
      </c>
      <c r="I132" s="56">
        <v>0</v>
      </c>
    </row>
    <row r="133" spans="1:9" ht="15.75">
      <c r="A133" s="38" t="s">
        <v>53</v>
      </c>
      <c r="B133" s="39" t="s">
        <v>140</v>
      </c>
      <c r="C133" s="39" t="s">
        <v>261</v>
      </c>
      <c r="D133" s="39" t="s">
        <v>268</v>
      </c>
      <c r="E133" s="39"/>
      <c r="F133" s="56">
        <f>F134</f>
        <v>19000</v>
      </c>
      <c r="G133" s="56">
        <v>0</v>
      </c>
      <c r="H133" s="56">
        <f>H134</f>
        <v>30000</v>
      </c>
      <c r="I133" s="56">
        <v>0</v>
      </c>
    </row>
    <row r="134" spans="1:9" ht="15.75">
      <c r="A134" s="38" t="s">
        <v>54</v>
      </c>
      <c r="B134" s="39" t="s">
        <v>140</v>
      </c>
      <c r="C134" s="39" t="s">
        <v>261</v>
      </c>
      <c r="D134" s="39" t="s">
        <v>268</v>
      </c>
      <c r="E134" s="39" t="s">
        <v>55</v>
      </c>
      <c r="F134" s="56">
        <v>19000</v>
      </c>
      <c r="G134" s="56">
        <v>0</v>
      </c>
      <c r="H134" s="56">
        <v>30000</v>
      </c>
      <c r="I134" s="56">
        <v>0</v>
      </c>
    </row>
    <row r="135" spans="1:9" ht="31.5">
      <c r="A135" s="22" t="s">
        <v>260</v>
      </c>
      <c r="B135" s="39" t="s">
        <v>140</v>
      </c>
      <c r="C135" s="39" t="s">
        <v>261</v>
      </c>
      <c r="D135" s="39"/>
      <c r="E135" s="39"/>
      <c r="F135" s="56">
        <f>F136</f>
        <v>90000</v>
      </c>
      <c r="G135" s="56">
        <v>0</v>
      </c>
      <c r="H135" s="56">
        <f>H136</f>
        <v>90000</v>
      </c>
      <c r="I135" s="56">
        <v>0</v>
      </c>
    </row>
    <row r="136" spans="1:9" ht="15.75">
      <c r="A136" s="38" t="s">
        <v>142</v>
      </c>
      <c r="B136" s="39" t="s">
        <v>140</v>
      </c>
      <c r="C136" s="39" t="s">
        <v>261</v>
      </c>
      <c r="D136" s="39" t="s">
        <v>256</v>
      </c>
      <c r="E136" s="39"/>
      <c r="F136" s="56">
        <f>F137</f>
        <v>90000</v>
      </c>
      <c r="G136" s="56">
        <v>0</v>
      </c>
      <c r="H136" s="56">
        <f>H137</f>
        <v>90000</v>
      </c>
      <c r="I136" s="56">
        <v>0</v>
      </c>
    </row>
    <row r="137" spans="1:9" ht="15.75">
      <c r="A137" s="38" t="s">
        <v>259</v>
      </c>
      <c r="B137" s="39" t="s">
        <v>140</v>
      </c>
      <c r="C137" s="39" t="s">
        <v>261</v>
      </c>
      <c r="D137" s="39" t="s">
        <v>256</v>
      </c>
      <c r="E137" s="39" t="s">
        <v>256</v>
      </c>
      <c r="F137" s="56">
        <v>90000</v>
      </c>
      <c r="G137" s="56">
        <v>0</v>
      </c>
      <c r="H137" s="56">
        <v>90000</v>
      </c>
      <c r="I137" s="56">
        <v>0</v>
      </c>
    </row>
    <row r="138" spans="1:9" ht="47.25">
      <c r="A138" s="38" t="s">
        <v>251</v>
      </c>
      <c r="B138" s="39" t="s">
        <v>140</v>
      </c>
      <c r="C138" s="39" t="s">
        <v>252</v>
      </c>
      <c r="D138" s="39"/>
      <c r="E138" s="39"/>
      <c r="F138" s="56">
        <f>F139</f>
        <v>200000</v>
      </c>
      <c r="G138" s="56">
        <v>0</v>
      </c>
      <c r="H138" s="56">
        <f>H139</f>
        <v>200000</v>
      </c>
      <c r="I138" s="56">
        <v>0</v>
      </c>
    </row>
    <row r="139" spans="1:9" ht="15.75">
      <c r="A139" s="38" t="s">
        <v>59</v>
      </c>
      <c r="B139" s="39" t="s">
        <v>140</v>
      </c>
      <c r="C139" s="39" t="s">
        <v>252</v>
      </c>
      <c r="D139" s="39" t="s">
        <v>275</v>
      </c>
      <c r="E139" s="39"/>
      <c r="F139" s="56">
        <f>F140</f>
        <v>200000</v>
      </c>
      <c r="G139" s="56">
        <v>0</v>
      </c>
      <c r="H139" s="56">
        <f>H140</f>
        <v>200000</v>
      </c>
      <c r="I139" s="56">
        <v>0</v>
      </c>
    </row>
    <row r="140" spans="1:9" ht="31.5">
      <c r="A140" s="38" t="s">
        <v>60</v>
      </c>
      <c r="B140" s="39" t="s">
        <v>140</v>
      </c>
      <c r="C140" s="39" t="s">
        <v>252</v>
      </c>
      <c r="D140" s="39" t="s">
        <v>275</v>
      </c>
      <c r="E140" s="39" t="s">
        <v>275</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260</v>
      </c>
      <c r="B142" s="39" t="s">
        <v>143</v>
      </c>
      <c r="C142" s="39" t="s">
        <v>261</v>
      </c>
      <c r="D142" s="39"/>
      <c r="E142" s="39"/>
      <c r="F142" s="56">
        <f>F143</f>
        <v>2000</v>
      </c>
      <c r="G142" s="56">
        <v>0</v>
      </c>
      <c r="H142" s="56">
        <f>H143</f>
        <v>2000</v>
      </c>
      <c r="I142" s="56">
        <v>0</v>
      </c>
    </row>
    <row r="143" spans="1:9" ht="15.75">
      <c r="A143" s="38" t="s">
        <v>53</v>
      </c>
      <c r="B143" s="39" t="s">
        <v>143</v>
      </c>
      <c r="C143" s="39" t="s">
        <v>261</v>
      </c>
      <c r="D143" s="39" t="s">
        <v>268</v>
      </c>
      <c r="E143" s="39"/>
      <c r="F143" s="56">
        <f>F144</f>
        <v>2000</v>
      </c>
      <c r="G143" s="56">
        <v>0</v>
      </c>
      <c r="H143" s="56">
        <f>H144</f>
        <v>2000</v>
      </c>
      <c r="I143" s="56">
        <v>0</v>
      </c>
    </row>
    <row r="144" spans="1:9" ht="15.75">
      <c r="A144" s="38" t="s">
        <v>54</v>
      </c>
      <c r="B144" s="39" t="s">
        <v>143</v>
      </c>
      <c r="C144" s="39" t="s">
        <v>261</v>
      </c>
      <c r="D144" s="39" t="s">
        <v>268</v>
      </c>
      <c r="E144" s="39" t="s">
        <v>55</v>
      </c>
      <c r="F144" s="56">
        <v>2000</v>
      </c>
      <c r="G144" s="56">
        <v>0</v>
      </c>
      <c r="H144" s="56">
        <v>2000</v>
      </c>
      <c r="I144" s="56">
        <v>0</v>
      </c>
    </row>
    <row r="145" spans="1:9" ht="94.5">
      <c r="A145" s="38" t="s">
        <v>45</v>
      </c>
      <c r="B145" s="39" t="s">
        <v>145</v>
      </c>
      <c r="C145" s="39"/>
      <c r="D145" s="39"/>
      <c r="E145" s="39"/>
      <c r="F145" s="56">
        <f aca="true" t="shared" si="16" ref="F145:I147">F146</f>
        <v>65200</v>
      </c>
      <c r="G145" s="56">
        <f t="shared" si="16"/>
        <v>65200</v>
      </c>
      <c r="H145" s="56">
        <f t="shared" si="16"/>
        <v>65200</v>
      </c>
      <c r="I145" s="56">
        <f t="shared" si="16"/>
        <v>65200</v>
      </c>
    </row>
    <row r="146" spans="1:9" ht="47.25">
      <c r="A146" s="38" t="s">
        <v>251</v>
      </c>
      <c r="B146" s="39" t="s">
        <v>145</v>
      </c>
      <c r="C146" s="39" t="s">
        <v>252</v>
      </c>
      <c r="D146" s="39"/>
      <c r="E146" s="39"/>
      <c r="F146" s="56">
        <f t="shared" si="16"/>
        <v>65200</v>
      </c>
      <c r="G146" s="56">
        <f t="shared" si="16"/>
        <v>65200</v>
      </c>
      <c r="H146" s="56">
        <f t="shared" si="16"/>
        <v>65200</v>
      </c>
      <c r="I146" s="56">
        <f t="shared" si="16"/>
        <v>65200</v>
      </c>
    </row>
    <row r="147" spans="1:9" ht="15.75">
      <c r="A147" s="38" t="s">
        <v>264</v>
      </c>
      <c r="B147" s="39" t="s">
        <v>145</v>
      </c>
      <c r="C147" s="39" t="s">
        <v>252</v>
      </c>
      <c r="D147" s="39" t="s">
        <v>265</v>
      </c>
      <c r="E147" s="39"/>
      <c r="F147" s="56">
        <f t="shared" si="16"/>
        <v>65200</v>
      </c>
      <c r="G147" s="56">
        <f t="shared" si="16"/>
        <v>65200</v>
      </c>
      <c r="H147" s="56">
        <f t="shared" si="16"/>
        <v>65200</v>
      </c>
      <c r="I147" s="56">
        <f t="shared" si="16"/>
        <v>65200</v>
      </c>
    </row>
    <row r="148" spans="1:9" ht="15.75">
      <c r="A148" s="38" t="s">
        <v>266</v>
      </c>
      <c r="B148" s="39" t="s">
        <v>145</v>
      </c>
      <c r="C148" s="39" t="s">
        <v>252</v>
      </c>
      <c r="D148" s="39" t="s">
        <v>265</v>
      </c>
      <c r="E148" s="39" t="s">
        <v>258</v>
      </c>
      <c r="F148" s="56">
        <f>78400-12800-400</f>
        <v>65200</v>
      </c>
      <c r="G148" s="56">
        <f>F148</f>
        <v>65200</v>
      </c>
      <c r="H148" s="56">
        <f>78400-12800-400</f>
        <v>65200</v>
      </c>
      <c r="I148" s="56">
        <f>H148</f>
        <v>65200</v>
      </c>
    </row>
    <row r="149" spans="1:9" ht="78.75">
      <c r="A149" s="38" t="s">
        <v>46</v>
      </c>
      <c r="B149" s="39" t="s">
        <v>146</v>
      </c>
      <c r="C149" s="39"/>
      <c r="D149" s="39"/>
      <c r="E149" s="39"/>
      <c r="F149" s="56">
        <f>F153+F150</f>
        <v>8915400</v>
      </c>
      <c r="G149" s="56">
        <f>G153+G150</f>
        <v>8915400</v>
      </c>
      <c r="H149" s="56">
        <f>H153+H150</f>
        <v>7257100</v>
      </c>
      <c r="I149" s="56">
        <f>I153+I150</f>
        <v>7257100</v>
      </c>
    </row>
    <row r="150" spans="1:9" ht="31.5">
      <c r="A150" s="22" t="s">
        <v>262</v>
      </c>
      <c r="B150" s="23" t="s">
        <v>146</v>
      </c>
      <c r="C150" s="23" t="s">
        <v>263</v>
      </c>
      <c r="D150" s="39"/>
      <c r="E150" s="39"/>
      <c r="F150" s="56">
        <f aca="true" t="shared" si="17" ref="F150:I151">F151</f>
        <v>298300</v>
      </c>
      <c r="G150" s="56">
        <f t="shared" si="17"/>
        <v>298300</v>
      </c>
      <c r="H150" s="56">
        <f t="shared" si="17"/>
        <v>298300</v>
      </c>
      <c r="I150" s="56">
        <f t="shared" si="17"/>
        <v>298300</v>
      </c>
    </row>
    <row r="151" spans="1:9" s="11" customFormat="1" ht="15.75">
      <c r="A151" s="22" t="s">
        <v>264</v>
      </c>
      <c r="B151" s="23" t="s">
        <v>146</v>
      </c>
      <c r="C151" s="23" t="s">
        <v>263</v>
      </c>
      <c r="D151" s="23" t="s">
        <v>265</v>
      </c>
      <c r="E151" s="39"/>
      <c r="F151" s="56">
        <f t="shared" si="17"/>
        <v>298300</v>
      </c>
      <c r="G151" s="56">
        <f t="shared" si="17"/>
        <v>298300</v>
      </c>
      <c r="H151" s="56">
        <f t="shared" si="17"/>
        <v>298300</v>
      </c>
      <c r="I151" s="56">
        <f t="shared" si="17"/>
        <v>298300</v>
      </c>
    </row>
    <row r="152" spans="1:9" ht="15.75">
      <c r="A152" s="22" t="s">
        <v>266</v>
      </c>
      <c r="B152" s="23" t="s">
        <v>146</v>
      </c>
      <c r="C152" s="23" t="s">
        <v>263</v>
      </c>
      <c r="D152" s="23" t="s">
        <v>265</v>
      </c>
      <c r="E152" s="23" t="s">
        <v>258</v>
      </c>
      <c r="F152" s="56">
        <f>298300</f>
        <v>298300</v>
      </c>
      <c r="G152" s="56">
        <v>298300</v>
      </c>
      <c r="H152" s="56">
        <v>298300</v>
      </c>
      <c r="I152" s="56">
        <v>298300</v>
      </c>
    </row>
    <row r="153" spans="1:9" ht="47.25">
      <c r="A153" s="38" t="s">
        <v>251</v>
      </c>
      <c r="B153" s="39" t="s">
        <v>146</v>
      </c>
      <c r="C153" s="39" t="s">
        <v>252</v>
      </c>
      <c r="D153" s="39"/>
      <c r="E153" s="39"/>
      <c r="F153" s="56">
        <f aca="true" t="shared" si="18" ref="F153:I154">F154</f>
        <v>8617100</v>
      </c>
      <c r="G153" s="56">
        <f t="shared" si="18"/>
        <v>8617100</v>
      </c>
      <c r="H153" s="56">
        <f t="shared" si="18"/>
        <v>6958800</v>
      </c>
      <c r="I153" s="56">
        <f t="shared" si="18"/>
        <v>6958800</v>
      </c>
    </row>
    <row r="154" spans="1:9" ht="15.75">
      <c r="A154" s="38" t="s">
        <v>264</v>
      </c>
      <c r="B154" s="39" t="s">
        <v>146</v>
      </c>
      <c r="C154" s="39" t="s">
        <v>252</v>
      </c>
      <c r="D154" s="39" t="s">
        <v>265</v>
      </c>
      <c r="E154" s="39"/>
      <c r="F154" s="56">
        <f t="shared" si="18"/>
        <v>8617100</v>
      </c>
      <c r="G154" s="56">
        <f t="shared" si="18"/>
        <v>8617100</v>
      </c>
      <c r="H154" s="56">
        <f t="shared" si="18"/>
        <v>6958800</v>
      </c>
      <c r="I154" s="56">
        <f t="shared" si="18"/>
        <v>6958800</v>
      </c>
    </row>
    <row r="155" spans="1:9" ht="15.75">
      <c r="A155" s="38" t="s">
        <v>266</v>
      </c>
      <c r="B155" s="39" t="s">
        <v>146</v>
      </c>
      <c r="C155" s="39" t="s">
        <v>252</v>
      </c>
      <c r="D155" s="39" t="s">
        <v>265</v>
      </c>
      <c r="E155" s="39" t="s">
        <v>258</v>
      </c>
      <c r="F155" s="56">
        <f>12793100-4137000-39000</f>
        <v>8617100</v>
      </c>
      <c r="G155" s="56">
        <f>F155</f>
        <v>8617100</v>
      </c>
      <c r="H155" s="56">
        <f>13486000-6481500-45700</f>
        <v>6958800</v>
      </c>
      <c r="I155" s="56">
        <f>H155</f>
        <v>6958800</v>
      </c>
    </row>
    <row r="156" spans="1:9" ht="47.25">
      <c r="A156" s="19" t="s">
        <v>147</v>
      </c>
      <c r="B156" s="18" t="s">
        <v>148</v>
      </c>
      <c r="C156" s="18"/>
      <c r="D156" s="18"/>
      <c r="E156" s="18"/>
      <c r="F156" s="59">
        <f>F157+F161+F165+F169+F173+F180</f>
        <v>3836100</v>
      </c>
      <c r="G156" s="59">
        <f>G157+G161+G165+G169+G173+G180</f>
        <v>3776100</v>
      </c>
      <c r="H156" s="59">
        <f>H157+H161+H165+H169+H173+H180</f>
        <v>4027400</v>
      </c>
      <c r="I156" s="59">
        <f>I157+I161+I165+I169+I173+I180</f>
        <v>3952400</v>
      </c>
    </row>
    <row r="157" spans="1:9" ht="31.5">
      <c r="A157" s="38" t="s">
        <v>141</v>
      </c>
      <c r="B157" s="39" t="s">
        <v>149</v>
      </c>
      <c r="C157" s="39"/>
      <c r="D157" s="39"/>
      <c r="E157" s="39"/>
      <c r="F157" s="56">
        <f>F158</f>
        <v>30000</v>
      </c>
      <c r="G157" s="56">
        <v>0</v>
      </c>
      <c r="H157" s="56">
        <f>H158</f>
        <v>45000</v>
      </c>
      <c r="I157" s="56">
        <v>0</v>
      </c>
    </row>
    <row r="158" spans="1:9" ht="47.25">
      <c r="A158" s="22" t="s">
        <v>251</v>
      </c>
      <c r="B158" s="39" t="s">
        <v>149</v>
      </c>
      <c r="C158" s="39" t="s">
        <v>252</v>
      </c>
      <c r="D158" s="39"/>
      <c r="E158" s="39"/>
      <c r="F158" s="56">
        <f>F159</f>
        <v>30000</v>
      </c>
      <c r="G158" s="56">
        <v>0</v>
      </c>
      <c r="H158" s="56">
        <f>H159</f>
        <v>45000</v>
      </c>
      <c r="I158" s="56">
        <v>0</v>
      </c>
    </row>
    <row r="159" spans="1:9" ht="15.75">
      <c r="A159" s="22" t="s">
        <v>253</v>
      </c>
      <c r="B159" s="39" t="s">
        <v>149</v>
      </c>
      <c r="C159" s="39" t="s">
        <v>252</v>
      </c>
      <c r="D159" s="23" t="s">
        <v>254</v>
      </c>
      <c r="E159" s="39"/>
      <c r="F159" s="56">
        <f>F160</f>
        <v>30000</v>
      </c>
      <c r="G159" s="56">
        <v>0</v>
      </c>
      <c r="H159" s="56">
        <f>H160</f>
        <v>45000</v>
      </c>
      <c r="I159" s="56">
        <v>0</v>
      </c>
    </row>
    <row r="160" spans="1:9" ht="15.75">
      <c r="A160" s="22" t="s">
        <v>267</v>
      </c>
      <c r="B160" s="39" t="s">
        <v>149</v>
      </c>
      <c r="C160" s="39" t="s">
        <v>252</v>
      </c>
      <c r="D160" s="23" t="s">
        <v>254</v>
      </c>
      <c r="E160" s="23" t="s">
        <v>254</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251</v>
      </c>
      <c r="B162" s="39" t="s">
        <v>150</v>
      </c>
      <c r="C162" s="39" t="s">
        <v>252</v>
      </c>
      <c r="D162" s="39"/>
      <c r="E162" s="39"/>
      <c r="F162" s="56">
        <f>F163</f>
        <v>30000</v>
      </c>
      <c r="G162" s="56">
        <v>0</v>
      </c>
      <c r="H162" s="56">
        <f>H163</f>
        <v>30000</v>
      </c>
      <c r="I162" s="56">
        <v>0</v>
      </c>
    </row>
    <row r="163" spans="1:9" ht="15.75">
      <c r="A163" s="22" t="s">
        <v>253</v>
      </c>
      <c r="B163" s="39" t="s">
        <v>150</v>
      </c>
      <c r="C163" s="39" t="s">
        <v>252</v>
      </c>
      <c r="D163" s="23" t="s">
        <v>254</v>
      </c>
      <c r="E163" s="39"/>
      <c r="F163" s="56">
        <f>F164</f>
        <v>30000</v>
      </c>
      <c r="G163" s="56">
        <v>0</v>
      </c>
      <c r="H163" s="56">
        <f>H164</f>
        <v>30000</v>
      </c>
      <c r="I163" s="56">
        <v>0</v>
      </c>
    </row>
    <row r="164" spans="1:9" ht="15.75">
      <c r="A164" s="22" t="s">
        <v>267</v>
      </c>
      <c r="B164" s="39" t="s">
        <v>150</v>
      </c>
      <c r="C164" s="39" t="s">
        <v>252</v>
      </c>
      <c r="D164" s="23" t="s">
        <v>254</v>
      </c>
      <c r="E164" s="23" t="s">
        <v>254</v>
      </c>
      <c r="F164" s="56">
        <v>30000</v>
      </c>
      <c r="G164" s="56">
        <v>0</v>
      </c>
      <c r="H164" s="56">
        <v>30000</v>
      </c>
      <c r="I164" s="56">
        <v>0</v>
      </c>
    </row>
    <row r="165" spans="1:9" ht="78.75">
      <c r="A165" s="38" t="s">
        <v>48</v>
      </c>
      <c r="B165" s="39" t="s">
        <v>151</v>
      </c>
      <c r="C165" s="39"/>
      <c r="D165" s="39"/>
      <c r="E165" s="39"/>
      <c r="F165" s="56">
        <f aca="true" t="shared" si="19" ref="F165:I167">F166</f>
        <v>197500</v>
      </c>
      <c r="G165" s="56">
        <f t="shared" si="19"/>
        <v>197500</v>
      </c>
      <c r="H165" s="56">
        <f t="shared" si="19"/>
        <v>212900</v>
      </c>
      <c r="I165" s="56">
        <f t="shared" si="19"/>
        <v>212900</v>
      </c>
    </row>
    <row r="166" spans="1:9" ht="31.5">
      <c r="A166" s="38" t="s">
        <v>262</v>
      </c>
      <c r="B166" s="39" t="s">
        <v>151</v>
      </c>
      <c r="C166" s="39" t="s">
        <v>263</v>
      </c>
      <c r="D166" s="39"/>
      <c r="E166" s="39"/>
      <c r="F166" s="56">
        <f t="shared" si="19"/>
        <v>197500</v>
      </c>
      <c r="G166" s="56">
        <f t="shared" si="19"/>
        <v>197500</v>
      </c>
      <c r="H166" s="56">
        <f t="shared" si="19"/>
        <v>212900</v>
      </c>
      <c r="I166" s="56">
        <f t="shared" si="19"/>
        <v>212900</v>
      </c>
    </row>
    <row r="167" spans="1:9" ht="15.75">
      <c r="A167" s="38" t="s">
        <v>264</v>
      </c>
      <c r="B167" s="39" t="s">
        <v>151</v>
      </c>
      <c r="C167" s="39" t="s">
        <v>263</v>
      </c>
      <c r="D167" s="39" t="s">
        <v>265</v>
      </c>
      <c r="E167" s="39"/>
      <c r="F167" s="56">
        <f t="shared" si="19"/>
        <v>197500</v>
      </c>
      <c r="G167" s="56">
        <f t="shared" si="19"/>
        <v>197500</v>
      </c>
      <c r="H167" s="56">
        <f t="shared" si="19"/>
        <v>212900</v>
      </c>
      <c r="I167" s="56">
        <f t="shared" si="19"/>
        <v>212900</v>
      </c>
    </row>
    <row r="168" spans="1:9" ht="15.75">
      <c r="A168" s="38" t="s">
        <v>266</v>
      </c>
      <c r="B168" s="39" t="s">
        <v>151</v>
      </c>
      <c r="C168" s="39" t="s">
        <v>263</v>
      </c>
      <c r="D168" s="39" t="s">
        <v>265</v>
      </c>
      <c r="E168" s="39" t="s">
        <v>258</v>
      </c>
      <c r="F168" s="56">
        <f>219300-21800</f>
        <v>197500</v>
      </c>
      <c r="G168" s="56">
        <f>F168</f>
        <v>197500</v>
      </c>
      <c r="H168" s="56">
        <f>231400-18500</f>
        <v>212900</v>
      </c>
      <c r="I168" s="56">
        <f>H168</f>
        <v>212900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47.25">
      <c r="A170" s="22" t="s">
        <v>251</v>
      </c>
      <c r="B170" s="39" t="s">
        <v>152</v>
      </c>
      <c r="C170" s="23" t="s">
        <v>252</v>
      </c>
      <c r="D170" s="39"/>
      <c r="E170" s="39"/>
      <c r="F170" s="56">
        <f t="shared" si="20"/>
        <v>4400</v>
      </c>
      <c r="G170" s="56">
        <f t="shared" si="20"/>
        <v>4400</v>
      </c>
      <c r="H170" s="56">
        <f t="shared" si="20"/>
        <v>4400</v>
      </c>
      <c r="I170" s="56">
        <f t="shared" si="20"/>
        <v>4400</v>
      </c>
    </row>
    <row r="171" spans="1:9" ht="15.75">
      <c r="A171" s="38" t="s">
        <v>264</v>
      </c>
      <c r="B171" s="39" t="s">
        <v>152</v>
      </c>
      <c r="C171" s="23" t="s">
        <v>252</v>
      </c>
      <c r="D171" s="39" t="s">
        <v>265</v>
      </c>
      <c r="E171" s="39"/>
      <c r="F171" s="56">
        <f t="shared" si="20"/>
        <v>4400</v>
      </c>
      <c r="G171" s="56">
        <f t="shared" si="20"/>
        <v>4400</v>
      </c>
      <c r="H171" s="56">
        <f t="shared" si="20"/>
        <v>4400</v>
      </c>
      <c r="I171" s="56">
        <f t="shared" si="20"/>
        <v>4400</v>
      </c>
    </row>
    <row r="172" spans="1:9" ht="22.5" customHeight="1">
      <c r="A172" s="38" t="s">
        <v>266</v>
      </c>
      <c r="B172" s="39" t="s">
        <v>152</v>
      </c>
      <c r="C172" s="23" t="s">
        <v>252</v>
      </c>
      <c r="D172" s="39" t="s">
        <v>265</v>
      </c>
      <c r="E172" s="39" t="s">
        <v>258</v>
      </c>
      <c r="F172" s="56">
        <v>4400</v>
      </c>
      <c r="G172" s="56">
        <v>4400</v>
      </c>
      <c r="H172" s="56">
        <v>4400</v>
      </c>
      <c r="I172" s="56">
        <v>4400</v>
      </c>
    </row>
    <row r="173" spans="1:9" ht="63">
      <c r="A173" s="38" t="s">
        <v>50</v>
      </c>
      <c r="B173" s="39" t="s">
        <v>153</v>
      </c>
      <c r="C173" s="39"/>
      <c r="D173" s="39"/>
      <c r="E173" s="39"/>
      <c r="F173" s="56">
        <f>F174+F177</f>
        <v>3536400</v>
      </c>
      <c r="G173" s="56">
        <f>G174+G177</f>
        <v>3536400</v>
      </c>
      <c r="H173" s="56">
        <f>H174+H177</f>
        <v>3695600</v>
      </c>
      <c r="I173" s="56">
        <f>I174+I177</f>
        <v>3695600</v>
      </c>
    </row>
    <row r="174" spans="1:9" ht="31.5">
      <c r="A174" s="22" t="s">
        <v>260</v>
      </c>
      <c r="B174" s="39" t="s">
        <v>153</v>
      </c>
      <c r="C174" s="39" t="s">
        <v>261</v>
      </c>
      <c r="D174" s="39"/>
      <c r="E174" s="39"/>
      <c r="F174" s="56">
        <f aca="true" t="shared" si="21" ref="F174:I175">F175</f>
        <v>500000</v>
      </c>
      <c r="G174" s="56">
        <f t="shared" si="21"/>
        <v>500000</v>
      </c>
      <c r="H174" s="56">
        <f t="shared" si="21"/>
        <v>522500</v>
      </c>
      <c r="I174" s="56">
        <f t="shared" si="21"/>
        <v>522500</v>
      </c>
    </row>
    <row r="175" spans="1:9" ht="15.75">
      <c r="A175" s="38" t="s">
        <v>264</v>
      </c>
      <c r="B175" s="39" t="s">
        <v>153</v>
      </c>
      <c r="C175" s="39" t="s">
        <v>261</v>
      </c>
      <c r="D175" s="39" t="s">
        <v>265</v>
      </c>
      <c r="E175" s="39"/>
      <c r="F175" s="56">
        <f t="shared" si="21"/>
        <v>500000</v>
      </c>
      <c r="G175" s="56">
        <f t="shared" si="21"/>
        <v>500000</v>
      </c>
      <c r="H175" s="56">
        <f t="shared" si="21"/>
        <v>522500</v>
      </c>
      <c r="I175" s="56">
        <f t="shared" si="21"/>
        <v>522500</v>
      </c>
    </row>
    <row r="176" spans="1:9" ht="15.75">
      <c r="A176" s="38" t="s">
        <v>1</v>
      </c>
      <c r="B176" s="39" t="s">
        <v>153</v>
      </c>
      <c r="C176" s="39" t="s">
        <v>261</v>
      </c>
      <c r="D176" s="39" t="s">
        <v>265</v>
      </c>
      <c r="E176" s="39" t="s">
        <v>269</v>
      </c>
      <c r="F176" s="56">
        <f>474800+25200</f>
        <v>500000</v>
      </c>
      <c r="G176" s="56">
        <f>F176</f>
        <v>500000</v>
      </c>
      <c r="H176" s="56">
        <f>474800+47700</f>
        <v>522500</v>
      </c>
      <c r="I176" s="56">
        <f>H176</f>
        <v>522500</v>
      </c>
    </row>
    <row r="177" spans="1:9" ht="31.5">
      <c r="A177" s="38" t="s">
        <v>262</v>
      </c>
      <c r="B177" s="39" t="s">
        <v>153</v>
      </c>
      <c r="C177" s="39" t="s">
        <v>263</v>
      </c>
      <c r="D177" s="39"/>
      <c r="E177" s="39"/>
      <c r="F177" s="56">
        <f aca="true" t="shared" si="22" ref="F177:I178">F178</f>
        <v>3036400</v>
      </c>
      <c r="G177" s="56">
        <f t="shared" si="22"/>
        <v>3036400</v>
      </c>
      <c r="H177" s="56">
        <f t="shared" si="22"/>
        <v>3173100</v>
      </c>
      <c r="I177" s="56">
        <f t="shared" si="22"/>
        <v>3173100</v>
      </c>
    </row>
    <row r="178" spans="1:9" ht="15.75">
      <c r="A178" s="38" t="s">
        <v>264</v>
      </c>
      <c r="B178" s="39" t="s">
        <v>153</v>
      </c>
      <c r="C178" s="39" t="s">
        <v>263</v>
      </c>
      <c r="D178" s="39" t="s">
        <v>265</v>
      </c>
      <c r="E178" s="39"/>
      <c r="F178" s="56">
        <f t="shared" si="22"/>
        <v>3036400</v>
      </c>
      <c r="G178" s="56">
        <f t="shared" si="22"/>
        <v>3036400</v>
      </c>
      <c r="H178" s="56">
        <f t="shared" si="22"/>
        <v>3173100</v>
      </c>
      <c r="I178" s="56">
        <f t="shared" si="22"/>
        <v>3173100</v>
      </c>
    </row>
    <row r="179" spans="1:9" s="11" customFormat="1" ht="15.75">
      <c r="A179" s="38" t="s">
        <v>1</v>
      </c>
      <c r="B179" s="39" t="s">
        <v>153</v>
      </c>
      <c r="C179" s="39" t="s">
        <v>263</v>
      </c>
      <c r="D179" s="39" t="s">
        <v>265</v>
      </c>
      <c r="E179" s="39" t="s">
        <v>269</v>
      </c>
      <c r="F179" s="56">
        <f>2685600+350800</f>
        <v>3036400</v>
      </c>
      <c r="G179" s="56">
        <f>F179</f>
        <v>3036400</v>
      </c>
      <c r="H179" s="56">
        <f>2685600+487500</f>
        <v>3173100</v>
      </c>
      <c r="I179" s="56">
        <f>H179</f>
        <v>3173100</v>
      </c>
    </row>
    <row r="180" spans="1:9" s="11" customFormat="1" ht="94.5">
      <c r="A180" s="38" t="s">
        <v>51</v>
      </c>
      <c r="B180" s="39" t="s">
        <v>154</v>
      </c>
      <c r="C180" s="39"/>
      <c r="D180" s="39"/>
      <c r="E180" s="39"/>
      <c r="F180" s="56">
        <f aca="true" t="shared" si="23" ref="F180:I182">F181</f>
        <v>37800</v>
      </c>
      <c r="G180" s="56">
        <f t="shared" si="23"/>
        <v>37800</v>
      </c>
      <c r="H180" s="56">
        <f t="shared" si="23"/>
        <v>39500</v>
      </c>
      <c r="I180" s="56">
        <f t="shared" si="23"/>
        <v>39500</v>
      </c>
    </row>
    <row r="181" spans="1:9" ht="31.5">
      <c r="A181" s="22" t="s">
        <v>260</v>
      </c>
      <c r="B181" s="39" t="s">
        <v>154</v>
      </c>
      <c r="C181" s="39" t="s">
        <v>261</v>
      </c>
      <c r="D181" s="39"/>
      <c r="E181" s="39"/>
      <c r="F181" s="56">
        <f t="shared" si="23"/>
        <v>37800</v>
      </c>
      <c r="G181" s="56">
        <f t="shared" si="23"/>
        <v>37800</v>
      </c>
      <c r="H181" s="56">
        <f t="shared" si="23"/>
        <v>39500</v>
      </c>
      <c r="I181" s="56">
        <f t="shared" si="23"/>
        <v>39500</v>
      </c>
    </row>
    <row r="182" spans="1:9" ht="15.75">
      <c r="A182" s="38" t="s">
        <v>264</v>
      </c>
      <c r="B182" s="39" t="s">
        <v>154</v>
      </c>
      <c r="C182" s="39" t="s">
        <v>261</v>
      </c>
      <c r="D182" s="39" t="s">
        <v>265</v>
      </c>
      <c r="E182" s="39"/>
      <c r="F182" s="56">
        <f t="shared" si="23"/>
        <v>37800</v>
      </c>
      <c r="G182" s="56">
        <f t="shared" si="23"/>
        <v>37800</v>
      </c>
      <c r="H182" s="56">
        <f t="shared" si="23"/>
        <v>39500</v>
      </c>
      <c r="I182" s="56">
        <f t="shared" si="23"/>
        <v>39500</v>
      </c>
    </row>
    <row r="183" spans="1:9" ht="15.75">
      <c r="A183" s="38" t="s">
        <v>1</v>
      </c>
      <c r="B183" s="39" t="s">
        <v>154</v>
      </c>
      <c r="C183" s="39" t="s">
        <v>261</v>
      </c>
      <c r="D183" s="39" t="s">
        <v>265</v>
      </c>
      <c r="E183" s="39" t="s">
        <v>269</v>
      </c>
      <c r="F183" s="56">
        <f>33800+4000</f>
        <v>37800</v>
      </c>
      <c r="G183" s="56">
        <f>F183</f>
        <v>37800</v>
      </c>
      <c r="H183" s="56">
        <f>33800+5700</f>
        <v>39500</v>
      </c>
      <c r="I183" s="56">
        <f>H183</f>
        <v>39500</v>
      </c>
    </row>
    <row r="184" spans="1:9" ht="31.5">
      <c r="A184" s="19" t="s">
        <v>179</v>
      </c>
      <c r="B184" s="18" t="s">
        <v>155</v>
      </c>
      <c r="C184" s="18"/>
      <c r="D184" s="18"/>
      <c r="E184" s="18"/>
      <c r="F184" s="59">
        <f>F185</f>
        <v>22314700</v>
      </c>
      <c r="G184" s="59">
        <f>G185</f>
        <v>0</v>
      </c>
      <c r="H184" s="59">
        <f>H185</f>
        <v>26469700</v>
      </c>
      <c r="I184" s="59">
        <f>I185</f>
        <v>0</v>
      </c>
    </row>
    <row r="185" spans="1:9" ht="31.5">
      <c r="A185" s="19" t="s">
        <v>176</v>
      </c>
      <c r="B185" s="18" t="s">
        <v>156</v>
      </c>
      <c r="C185" s="18"/>
      <c r="D185" s="18"/>
      <c r="E185" s="18"/>
      <c r="F185" s="59">
        <f>F186+F190+F195</f>
        <v>22314700</v>
      </c>
      <c r="G185" s="59">
        <f>G186+G190+G195</f>
        <v>0</v>
      </c>
      <c r="H185" s="59">
        <f>H186+H190+H195</f>
        <v>26469700</v>
      </c>
      <c r="I185" s="59">
        <f>I186+I190+I195</f>
        <v>0</v>
      </c>
    </row>
    <row r="186" spans="1:9" ht="63">
      <c r="A186" s="38" t="s">
        <v>14</v>
      </c>
      <c r="B186" s="39" t="s">
        <v>157</v>
      </c>
      <c r="C186" s="39"/>
      <c r="D186" s="39"/>
      <c r="E186" s="39"/>
      <c r="F186" s="56">
        <f>F187</f>
        <v>21889700</v>
      </c>
      <c r="G186" s="56">
        <v>0</v>
      </c>
      <c r="H186" s="56">
        <f>H187</f>
        <v>25889700</v>
      </c>
      <c r="I186" s="56">
        <v>0</v>
      </c>
    </row>
    <row r="187" spans="1:9" ht="47.25">
      <c r="A187" s="38" t="s">
        <v>251</v>
      </c>
      <c r="B187" s="39" t="s">
        <v>157</v>
      </c>
      <c r="C187" s="39" t="s">
        <v>252</v>
      </c>
      <c r="D187" s="39"/>
      <c r="E187" s="39"/>
      <c r="F187" s="56">
        <f>F188</f>
        <v>21889700</v>
      </c>
      <c r="G187" s="56">
        <v>0</v>
      </c>
      <c r="H187" s="56">
        <f>H188</f>
        <v>25889700</v>
      </c>
      <c r="I187" s="56">
        <v>0</v>
      </c>
    </row>
    <row r="188" spans="1:9" ht="15.75">
      <c r="A188" s="38" t="s">
        <v>41</v>
      </c>
      <c r="B188" s="39" t="s">
        <v>157</v>
      </c>
      <c r="C188" s="39" t="s">
        <v>252</v>
      </c>
      <c r="D188" s="39" t="s">
        <v>42</v>
      </c>
      <c r="E188" s="39"/>
      <c r="F188" s="56">
        <f>F189</f>
        <v>21889700</v>
      </c>
      <c r="G188" s="56">
        <v>0</v>
      </c>
      <c r="H188" s="56">
        <f>H189</f>
        <v>25889700</v>
      </c>
      <c r="I188" s="56">
        <v>0</v>
      </c>
    </row>
    <row r="189" spans="1:9" ht="15.75">
      <c r="A189" s="38" t="s">
        <v>43</v>
      </c>
      <c r="B189" s="39" t="s">
        <v>157</v>
      </c>
      <c r="C189" s="39" t="s">
        <v>252</v>
      </c>
      <c r="D189" s="39" t="s">
        <v>42</v>
      </c>
      <c r="E189" s="39" t="s">
        <v>257</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251</v>
      </c>
      <c r="B191" s="39" t="s">
        <v>158</v>
      </c>
      <c r="C191" s="39" t="s">
        <v>252</v>
      </c>
      <c r="D191" s="39"/>
      <c r="E191" s="39"/>
      <c r="F191" s="56">
        <f>F192</f>
        <v>350000</v>
      </c>
      <c r="G191" s="56">
        <v>0</v>
      </c>
      <c r="H191" s="56">
        <f>H192</f>
        <v>480000</v>
      </c>
      <c r="I191" s="56">
        <v>0</v>
      </c>
    </row>
    <row r="192" spans="1:9" ht="15.75">
      <c r="A192" s="38" t="s">
        <v>41</v>
      </c>
      <c r="B192" s="39" t="s">
        <v>158</v>
      </c>
      <c r="C192" s="39" t="s">
        <v>252</v>
      </c>
      <c r="D192" s="39" t="s">
        <v>42</v>
      </c>
      <c r="E192" s="39"/>
      <c r="F192" s="56">
        <f>F193+F194</f>
        <v>350000</v>
      </c>
      <c r="G192" s="56">
        <v>0</v>
      </c>
      <c r="H192" s="56">
        <f>H193+H194</f>
        <v>480000</v>
      </c>
      <c r="I192" s="56">
        <v>0</v>
      </c>
    </row>
    <row r="193" spans="1:9" ht="15.75">
      <c r="A193" s="38" t="s">
        <v>160</v>
      </c>
      <c r="B193" s="39" t="s">
        <v>158</v>
      </c>
      <c r="C193" s="39" t="s">
        <v>252</v>
      </c>
      <c r="D193" s="39" t="s">
        <v>42</v>
      </c>
      <c r="E193" s="39" t="s">
        <v>268</v>
      </c>
      <c r="F193" s="56">
        <v>250000</v>
      </c>
      <c r="G193" s="56">
        <v>0</v>
      </c>
      <c r="H193" s="56">
        <v>300000</v>
      </c>
      <c r="I193" s="56">
        <v>0</v>
      </c>
    </row>
    <row r="194" spans="1:9" ht="15.75">
      <c r="A194" s="38" t="s">
        <v>43</v>
      </c>
      <c r="B194" s="39" t="s">
        <v>158</v>
      </c>
      <c r="C194" s="39" t="s">
        <v>252</v>
      </c>
      <c r="D194" s="39" t="s">
        <v>42</v>
      </c>
      <c r="E194" s="39" t="s">
        <v>257</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251</v>
      </c>
      <c r="B196" s="39" t="s">
        <v>161</v>
      </c>
      <c r="C196" s="39" t="s">
        <v>252</v>
      </c>
      <c r="D196" s="39"/>
      <c r="E196" s="39"/>
      <c r="F196" s="56">
        <f>F197</f>
        <v>75000</v>
      </c>
      <c r="G196" s="56">
        <f aca="true" t="shared" si="24" ref="G196:I197">G197</f>
        <v>0</v>
      </c>
      <c r="H196" s="56">
        <f t="shared" si="24"/>
        <v>100000</v>
      </c>
      <c r="I196" s="56">
        <f t="shared" si="24"/>
        <v>0</v>
      </c>
    </row>
    <row r="197" spans="1:9" ht="15.75">
      <c r="A197" s="38" t="s">
        <v>41</v>
      </c>
      <c r="B197" s="39" t="s">
        <v>161</v>
      </c>
      <c r="C197" s="39" t="s">
        <v>252</v>
      </c>
      <c r="D197" s="39" t="s">
        <v>42</v>
      </c>
      <c r="E197" s="39"/>
      <c r="F197" s="56">
        <f>F198</f>
        <v>75000</v>
      </c>
      <c r="G197" s="56">
        <f t="shared" si="24"/>
        <v>0</v>
      </c>
      <c r="H197" s="56">
        <f t="shared" si="24"/>
        <v>100000</v>
      </c>
      <c r="I197" s="56">
        <f t="shared" si="24"/>
        <v>0</v>
      </c>
    </row>
    <row r="198" spans="1:9" ht="15.75">
      <c r="A198" s="38" t="s">
        <v>160</v>
      </c>
      <c r="B198" s="39" t="s">
        <v>161</v>
      </c>
      <c r="C198" s="39" t="s">
        <v>252</v>
      </c>
      <c r="D198" s="39" t="s">
        <v>42</v>
      </c>
      <c r="E198" s="39" t="s">
        <v>268</v>
      </c>
      <c r="F198" s="56">
        <v>75000</v>
      </c>
      <c r="G198" s="56">
        <v>0</v>
      </c>
      <c r="H198" s="56">
        <v>100000</v>
      </c>
      <c r="I198" s="56">
        <v>0</v>
      </c>
    </row>
    <row r="199" spans="1:9" ht="47.25">
      <c r="A199" s="19" t="s">
        <v>175</v>
      </c>
      <c r="B199" s="18" t="s">
        <v>164</v>
      </c>
      <c r="C199" s="18"/>
      <c r="D199" s="18"/>
      <c r="E199" s="18"/>
      <c r="F199" s="59">
        <f>F200</f>
        <v>16240382</v>
      </c>
      <c r="G199" s="59">
        <f>G200</f>
        <v>2361340</v>
      </c>
      <c r="H199" s="59">
        <f>H200</f>
        <v>17245142</v>
      </c>
      <c r="I199" s="59">
        <f>I200</f>
        <v>2406100</v>
      </c>
    </row>
    <row r="200" spans="1:9" ht="47.25">
      <c r="A200" s="19" t="s">
        <v>177</v>
      </c>
      <c r="B200" s="18" t="s">
        <v>174</v>
      </c>
      <c r="C200" s="18"/>
      <c r="D200" s="18"/>
      <c r="E200" s="18"/>
      <c r="F200" s="59">
        <f>F201+F207+F214+F219+F223</f>
        <v>16240382</v>
      </c>
      <c r="G200" s="59">
        <f>G201+G207+G214+G219+G223</f>
        <v>2361340</v>
      </c>
      <c r="H200" s="59">
        <f>H201+H207+H214+H219+H223</f>
        <v>17245142</v>
      </c>
      <c r="I200" s="59">
        <f>I201+I207+I214+I219+I223</f>
        <v>2406100</v>
      </c>
    </row>
    <row r="201" spans="1:9" ht="63">
      <c r="A201" s="38" t="s">
        <v>14</v>
      </c>
      <c r="B201" s="39" t="s">
        <v>165</v>
      </c>
      <c r="C201" s="39"/>
      <c r="D201" s="39"/>
      <c r="E201" s="39"/>
      <c r="F201" s="56">
        <f>F202</f>
        <v>13081042</v>
      </c>
      <c r="G201" s="56">
        <v>0</v>
      </c>
      <c r="H201" s="56">
        <f>H202</f>
        <v>14081042</v>
      </c>
      <c r="I201" s="56">
        <v>0</v>
      </c>
    </row>
    <row r="202" spans="1:9" ht="47.25">
      <c r="A202" s="38" t="s">
        <v>251</v>
      </c>
      <c r="B202" s="39" t="s">
        <v>165</v>
      </c>
      <c r="C202" s="39" t="s">
        <v>252</v>
      </c>
      <c r="D202" s="39"/>
      <c r="E202" s="39"/>
      <c r="F202" s="56">
        <f>F203+F205</f>
        <v>13081042</v>
      </c>
      <c r="G202" s="56">
        <v>0</v>
      </c>
      <c r="H202" s="56">
        <f>H203+H205</f>
        <v>14081042</v>
      </c>
      <c r="I202" s="56">
        <v>0</v>
      </c>
    </row>
    <row r="203" spans="1:9" ht="15.75">
      <c r="A203" s="38" t="s">
        <v>253</v>
      </c>
      <c r="B203" s="39" t="s">
        <v>165</v>
      </c>
      <c r="C203" s="39" t="s">
        <v>252</v>
      </c>
      <c r="D203" s="39" t="s">
        <v>254</v>
      </c>
      <c r="E203" s="39"/>
      <c r="F203" s="56">
        <f>F204</f>
        <v>8020942</v>
      </c>
      <c r="G203" s="56">
        <v>0</v>
      </c>
      <c r="H203" s="56">
        <f>H204</f>
        <v>9020942</v>
      </c>
      <c r="I203" s="56">
        <v>0</v>
      </c>
    </row>
    <row r="204" spans="1:9" ht="15.75">
      <c r="A204" s="38" t="s">
        <v>0</v>
      </c>
      <c r="B204" s="39" t="s">
        <v>165</v>
      </c>
      <c r="C204" s="39" t="s">
        <v>252</v>
      </c>
      <c r="D204" s="39" t="s">
        <v>254</v>
      </c>
      <c r="E204" s="39" t="s">
        <v>257</v>
      </c>
      <c r="F204" s="56">
        <v>8020942</v>
      </c>
      <c r="G204" s="56">
        <v>0</v>
      </c>
      <c r="H204" s="56">
        <v>9020942</v>
      </c>
      <c r="I204" s="56">
        <v>0</v>
      </c>
    </row>
    <row r="205" spans="1:9" ht="15.75">
      <c r="A205" s="22" t="s">
        <v>166</v>
      </c>
      <c r="B205" s="39" t="s">
        <v>165</v>
      </c>
      <c r="C205" s="39" t="s">
        <v>252</v>
      </c>
      <c r="D205" s="39" t="s">
        <v>39</v>
      </c>
      <c r="E205" s="39"/>
      <c r="F205" s="56">
        <f>F206</f>
        <v>5060100</v>
      </c>
      <c r="G205" s="56">
        <v>0</v>
      </c>
      <c r="H205" s="56">
        <f>H206</f>
        <v>5060100</v>
      </c>
      <c r="I205" s="56">
        <v>0</v>
      </c>
    </row>
    <row r="206" spans="1:9" ht="15.75">
      <c r="A206" s="22" t="s">
        <v>40</v>
      </c>
      <c r="B206" s="39" t="s">
        <v>165</v>
      </c>
      <c r="C206" s="39" t="s">
        <v>252</v>
      </c>
      <c r="D206" s="39" t="s">
        <v>39</v>
      </c>
      <c r="E206" s="39" t="s">
        <v>268</v>
      </c>
      <c r="F206" s="56">
        <f>4532500+1227600-700000</f>
        <v>5060100</v>
      </c>
      <c r="G206" s="56">
        <v>0</v>
      </c>
      <c r="H206" s="56">
        <f>4532500+1227600-700000</f>
        <v>5060100</v>
      </c>
      <c r="I206" s="56">
        <v>0</v>
      </c>
    </row>
    <row r="207" spans="1:9" ht="47.25">
      <c r="A207" s="38" t="s">
        <v>168</v>
      </c>
      <c r="B207" s="39" t="s">
        <v>167</v>
      </c>
      <c r="C207" s="39"/>
      <c r="D207" s="39"/>
      <c r="E207" s="39"/>
      <c r="F207" s="56">
        <f>F208+F211</f>
        <v>588000</v>
      </c>
      <c r="G207" s="56">
        <v>0</v>
      </c>
      <c r="H207" s="56">
        <f>H208+H211</f>
        <v>548000</v>
      </c>
      <c r="I207" s="56">
        <v>0</v>
      </c>
    </row>
    <row r="208" spans="1:9" ht="31.5">
      <c r="A208" s="22" t="s">
        <v>260</v>
      </c>
      <c r="B208" s="39" t="s">
        <v>167</v>
      </c>
      <c r="C208" s="39" t="s">
        <v>261</v>
      </c>
      <c r="D208" s="39"/>
      <c r="E208" s="39"/>
      <c r="F208" s="56">
        <f>F209</f>
        <v>240000</v>
      </c>
      <c r="G208" s="56">
        <v>0</v>
      </c>
      <c r="H208" s="56">
        <f>H209</f>
        <v>200000</v>
      </c>
      <c r="I208" s="56">
        <v>0</v>
      </c>
    </row>
    <row r="209" spans="1:9" ht="15.75">
      <c r="A209" s="38" t="s">
        <v>53</v>
      </c>
      <c r="B209" s="39" t="s">
        <v>167</v>
      </c>
      <c r="C209" s="39" t="s">
        <v>261</v>
      </c>
      <c r="D209" s="39" t="s">
        <v>268</v>
      </c>
      <c r="E209" s="39"/>
      <c r="F209" s="56">
        <f>F210</f>
        <v>240000</v>
      </c>
      <c r="G209" s="56">
        <v>0</v>
      </c>
      <c r="H209" s="56">
        <f>H210</f>
        <v>200000</v>
      </c>
      <c r="I209" s="56">
        <v>0</v>
      </c>
    </row>
    <row r="210" spans="1:9" ht="15.75">
      <c r="A210" s="38" t="s">
        <v>54</v>
      </c>
      <c r="B210" s="39" t="s">
        <v>167</v>
      </c>
      <c r="C210" s="39" t="s">
        <v>261</v>
      </c>
      <c r="D210" s="39" t="s">
        <v>268</v>
      </c>
      <c r="E210" s="39" t="s">
        <v>55</v>
      </c>
      <c r="F210" s="56">
        <f>240000</f>
        <v>240000</v>
      </c>
      <c r="G210" s="56">
        <v>0</v>
      </c>
      <c r="H210" s="56">
        <f>200000</f>
        <v>200000</v>
      </c>
      <c r="I210" s="56">
        <v>0</v>
      </c>
    </row>
    <row r="211" spans="1:9" ht="47.25">
      <c r="A211" s="38" t="s">
        <v>251</v>
      </c>
      <c r="B211" s="39" t="s">
        <v>167</v>
      </c>
      <c r="C211" s="39" t="s">
        <v>252</v>
      </c>
      <c r="D211" s="39"/>
      <c r="E211" s="39"/>
      <c r="F211" s="56">
        <f>F212</f>
        <v>348000</v>
      </c>
      <c r="G211" s="56">
        <v>0</v>
      </c>
      <c r="H211" s="56">
        <f>H212</f>
        <v>348000</v>
      </c>
      <c r="I211" s="56">
        <v>0</v>
      </c>
    </row>
    <row r="212" spans="1:9" ht="15.75">
      <c r="A212" s="22" t="s">
        <v>166</v>
      </c>
      <c r="B212" s="39" t="s">
        <v>167</v>
      </c>
      <c r="C212" s="39" t="s">
        <v>252</v>
      </c>
      <c r="D212" s="23" t="s">
        <v>39</v>
      </c>
      <c r="E212" s="39"/>
      <c r="F212" s="56">
        <f>F213</f>
        <v>348000</v>
      </c>
      <c r="G212" s="56">
        <v>0</v>
      </c>
      <c r="H212" s="56">
        <f>H213</f>
        <v>348000</v>
      </c>
      <c r="I212" s="56">
        <v>0</v>
      </c>
    </row>
    <row r="213" spans="1:9" ht="15.75">
      <c r="A213" s="22" t="s">
        <v>40</v>
      </c>
      <c r="B213" s="39" t="s">
        <v>167</v>
      </c>
      <c r="C213" s="39" t="s">
        <v>252</v>
      </c>
      <c r="D213" s="23" t="s">
        <v>39</v>
      </c>
      <c r="E213" s="23" t="s">
        <v>268</v>
      </c>
      <c r="F213" s="56">
        <v>348000</v>
      </c>
      <c r="G213" s="56">
        <v>0</v>
      </c>
      <c r="H213" s="56">
        <v>348000</v>
      </c>
      <c r="I213" s="56">
        <v>0</v>
      </c>
    </row>
    <row r="214" spans="1:9" ht="31.5">
      <c r="A214" s="38" t="s">
        <v>170</v>
      </c>
      <c r="B214" s="39" t="s">
        <v>169</v>
      </c>
      <c r="C214" s="39"/>
      <c r="D214" s="39"/>
      <c r="E214" s="39"/>
      <c r="F214" s="56">
        <f>F215</f>
        <v>210000</v>
      </c>
      <c r="G214" s="56">
        <v>0</v>
      </c>
      <c r="H214" s="56">
        <f>H215</f>
        <v>210000</v>
      </c>
      <c r="I214" s="56">
        <v>0</v>
      </c>
    </row>
    <row r="215" spans="1:9" ht="47.25">
      <c r="A215" s="38" t="s">
        <v>251</v>
      </c>
      <c r="B215" s="39" t="s">
        <v>169</v>
      </c>
      <c r="C215" s="39" t="s">
        <v>252</v>
      </c>
      <c r="D215" s="39"/>
      <c r="E215" s="39"/>
      <c r="F215" s="56">
        <f>F216</f>
        <v>210000</v>
      </c>
      <c r="G215" s="56">
        <v>0</v>
      </c>
      <c r="H215" s="56">
        <f>H216</f>
        <v>210000</v>
      </c>
      <c r="I215" s="56">
        <v>0</v>
      </c>
    </row>
    <row r="216" spans="1:9" ht="15.75">
      <c r="A216" s="38" t="s">
        <v>166</v>
      </c>
      <c r="B216" s="39" t="s">
        <v>169</v>
      </c>
      <c r="C216" s="39" t="s">
        <v>252</v>
      </c>
      <c r="D216" s="39" t="s">
        <v>39</v>
      </c>
      <c r="E216" s="39"/>
      <c r="F216" s="56">
        <f>F217+F218</f>
        <v>210000</v>
      </c>
      <c r="G216" s="56">
        <v>0</v>
      </c>
      <c r="H216" s="56">
        <f>H217+H218</f>
        <v>210000</v>
      </c>
      <c r="I216" s="56">
        <v>0</v>
      </c>
    </row>
    <row r="217" spans="1:9" ht="15.75">
      <c r="A217" s="38" t="s">
        <v>40</v>
      </c>
      <c r="B217" s="39" t="s">
        <v>169</v>
      </c>
      <c r="C217" s="39" t="s">
        <v>252</v>
      </c>
      <c r="D217" s="39" t="s">
        <v>39</v>
      </c>
      <c r="E217" s="39" t="s">
        <v>268</v>
      </c>
      <c r="F217" s="56">
        <v>10000</v>
      </c>
      <c r="G217" s="56">
        <v>0</v>
      </c>
      <c r="H217" s="56">
        <v>10000</v>
      </c>
      <c r="I217" s="56">
        <v>0</v>
      </c>
    </row>
    <row r="218" spans="1:9" ht="31.5">
      <c r="A218" s="20" t="s">
        <v>171</v>
      </c>
      <c r="B218" s="21" t="s">
        <v>169</v>
      </c>
      <c r="C218" s="31" t="s">
        <v>252</v>
      </c>
      <c r="D218" s="31" t="s">
        <v>39</v>
      </c>
      <c r="E218" s="31" t="s">
        <v>269</v>
      </c>
      <c r="F218" s="44">
        <v>200000</v>
      </c>
      <c r="G218" s="56">
        <v>0</v>
      </c>
      <c r="H218" s="62">
        <v>200000</v>
      </c>
      <c r="I218" s="56">
        <v>0</v>
      </c>
    </row>
    <row r="219" spans="1:9" ht="51.75" customHeight="1">
      <c r="A219" s="38" t="s">
        <v>330</v>
      </c>
      <c r="B219" s="39" t="s">
        <v>172</v>
      </c>
      <c r="C219" s="39"/>
      <c r="D219" s="39"/>
      <c r="E219" s="39"/>
      <c r="F219" s="56">
        <f aca="true" t="shared" si="25" ref="F219:I221">F220</f>
        <v>2140</v>
      </c>
      <c r="G219" s="56">
        <f t="shared" si="25"/>
        <v>2140</v>
      </c>
      <c r="H219" s="56">
        <f t="shared" si="25"/>
        <v>2200</v>
      </c>
      <c r="I219" s="56">
        <f t="shared" si="25"/>
        <v>2200</v>
      </c>
    </row>
    <row r="220" spans="1:9" ht="47.25">
      <c r="A220" s="38" t="s">
        <v>251</v>
      </c>
      <c r="B220" s="39" t="s">
        <v>172</v>
      </c>
      <c r="C220" s="39" t="s">
        <v>252</v>
      </c>
      <c r="D220" s="39"/>
      <c r="E220" s="39"/>
      <c r="F220" s="56">
        <f t="shared" si="25"/>
        <v>2140</v>
      </c>
      <c r="G220" s="56">
        <f t="shared" si="25"/>
        <v>2140</v>
      </c>
      <c r="H220" s="56">
        <f t="shared" si="25"/>
        <v>2200</v>
      </c>
      <c r="I220" s="56">
        <f t="shared" si="25"/>
        <v>2200</v>
      </c>
    </row>
    <row r="221" spans="1:9" ht="15.75">
      <c r="A221" s="38" t="s">
        <v>166</v>
      </c>
      <c r="B221" s="39" t="s">
        <v>172</v>
      </c>
      <c r="C221" s="39" t="s">
        <v>252</v>
      </c>
      <c r="D221" s="39" t="s">
        <v>39</v>
      </c>
      <c r="E221" s="39"/>
      <c r="F221" s="56">
        <f t="shared" si="25"/>
        <v>2140</v>
      </c>
      <c r="G221" s="56">
        <f t="shared" si="25"/>
        <v>2140</v>
      </c>
      <c r="H221" s="56">
        <f t="shared" si="25"/>
        <v>2200</v>
      </c>
      <c r="I221" s="56">
        <f t="shared" si="25"/>
        <v>2200</v>
      </c>
    </row>
    <row r="222" spans="1:9" ht="15.75">
      <c r="A222" s="38" t="s">
        <v>40</v>
      </c>
      <c r="B222" s="39" t="s">
        <v>172</v>
      </c>
      <c r="C222" s="39" t="s">
        <v>252</v>
      </c>
      <c r="D222" s="39" t="s">
        <v>39</v>
      </c>
      <c r="E222" s="39" t="s">
        <v>268</v>
      </c>
      <c r="F222" s="56">
        <f>2200-60</f>
        <v>2140</v>
      </c>
      <c r="G222" s="56">
        <f>F222</f>
        <v>2140</v>
      </c>
      <c r="H222" s="56">
        <v>2200</v>
      </c>
      <c r="I222" s="56">
        <f>H222</f>
        <v>2200</v>
      </c>
    </row>
    <row r="223" spans="1:9" ht="78.75">
      <c r="A223" s="38" t="s">
        <v>44</v>
      </c>
      <c r="B223" s="39" t="s">
        <v>173</v>
      </c>
      <c r="C223" s="39"/>
      <c r="D223" s="39"/>
      <c r="E223" s="39"/>
      <c r="F223" s="56">
        <f>F224</f>
        <v>2359200</v>
      </c>
      <c r="G223" s="56">
        <f>G224</f>
        <v>2359200</v>
      </c>
      <c r="H223" s="56">
        <f>H224</f>
        <v>2403900</v>
      </c>
      <c r="I223" s="56">
        <f>I224</f>
        <v>2403900</v>
      </c>
    </row>
    <row r="224" spans="1:9" s="11" customFormat="1" ht="47.25">
      <c r="A224" s="38" t="s">
        <v>251</v>
      </c>
      <c r="B224" s="39" t="s">
        <v>173</v>
      </c>
      <c r="C224" s="39" t="s">
        <v>252</v>
      </c>
      <c r="D224" s="39"/>
      <c r="E224" s="39"/>
      <c r="F224" s="56">
        <f>F227+F225</f>
        <v>2359200</v>
      </c>
      <c r="G224" s="56">
        <f>G227+G225</f>
        <v>2359200</v>
      </c>
      <c r="H224" s="56">
        <f>H227+H225</f>
        <v>2403900</v>
      </c>
      <c r="I224" s="56">
        <f>I227+I225</f>
        <v>2403900</v>
      </c>
    </row>
    <row r="225" spans="1:9" s="11" customFormat="1" ht="15.75">
      <c r="A225" s="38" t="s">
        <v>253</v>
      </c>
      <c r="B225" s="39" t="s">
        <v>173</v>
      </c>
      <c r="C225" s="39" t="s">
        <v>252</v>
      </c>
      <c r="D225" s="39" t="s">
        <v>254</v>
      </c>
      <c r="E225" s="39"/>
      <c r="F225" s="56">
        <f>F226</f>
        <v>1552700</v>
      </c>
      <c r="G225" s="56">
        <f>G226</f>
        <v>1552700</v>
      </c>
      <c r="H225" s="56">
        <f>H226</f>
        <v>1575100</v>
      </c>
      <c r="I225" s="56">
        <f>I226</f>
        <v>1575100</v>
      </c>
    </row>
    <row r="226" spans="1:9" ht="15.75">
      <c r="A226" s="38" t="s">
        <v>0</v>
      </c>
      <c r="B226" s="39" t="s">
        <v>173</v>
      </c>
      <c r="C226" s="39" t="s">
        <v>252</v>
      </c>
      <c r="D226" s="39" t="s">
        <v>254</v>
      </c>
      <c r="E226" s="39" t="s">
        <v>257</v>
      </c>
      <c r="F226" s="56">
        <f>1652700-100000</f>
        <v>1552700</v>
      </c>
      <c r="G226" s="56">
        <f>F226</f>
        <v>1552700</v>
      </c>
      <c r="H226" s="56">
        <f>1672700-97600</f>
        <v>1575100</v>
      </c>
      <c r="I226" s="56">
        <f>H226</f>
        <v>1575100</v>
      </c>
    </row>
    <row r="227" spans="1:9" ht="28.5" customHeight="1">
      <c r="A227" s="38" t="s">
        <v>166</v>
      </c>
      <c r="B227" s="39" t="s">
        <v>173</v>
      </c>
      <c r="C227" s="39" t="s">
        <v>252</v>
      </c>
      <c r="D227" s="39" t="s">
        <v>39</v>
      </c>
      <c r="E227" s="39"/>
      <c r="F227" s="56">
        <f>F228</f>
        <v>806500</v>
      </c>
      <c r="G227" s="56">
        <f>G228</f>
        <v>806500</v>
      </c>
      <c r="H227" s="56">
        <f>H228</f>
        <v>828800</v>
      </c>
      <c r="I227" s="56">
        <f>I228</f>
        <v>828800</v>
      </c>
    </row>
    <row r="228" spans="1:9" ht="15.75">
      <c r="A228" s="38" t="s">
        <v>40</v>
      </c>
      <c r="B228" s="39" t="s">
        <v>173</v>
      </c>
      <c r="C228" s="39" t="s">
        <v>252</v>
      </c>
      <c r="D228" s="39" t="s">
        <v>39</v>
      </c>
      <c r="E228" s="39" t="s">
        <v>268</v>
      </c>
      <c r="F228" s="56">
        <f>842200-35700</f>
        <v>806500</v>
      </c>
      <c r="G228" s="56">
        <f>F228</f>
        <v>806500</v>
      </c>
      <c r="H228" s="56">
        <f>864300-35500</f>
        <v>828800</v>
      </c>
      <c r="I228" s="56">
        <f>H228</f>
        <v>828800</v>
      </c>
    </row>
    <row r="229" spans="1:9" ht="47.25">
      <c r="A229" s="19" t="s">
        <v>178</v>
      </c>
      <c r="B229" s="18" t="s">
        <v>182</v>
      </c>
      <c r="C229" s="18"/>
      <c r="D229" s="18"/>
      <c r="E229" s="18"/>
      <c r="F229" s="59">
        <f>F230+F238+F259+F265</f>
        <v>41390198</v>
      </c>
      <c r="G229" s="59">
        <f>G230+G238+G259+G265</f>
        <v>82898</v>
      </c>
      <c r="H229" s="59">
        <f>H230+H238+H259+H265</f>
        <v>43390198</v>
      </c>
      <c r="I229" s="59">
        <f>I230+I238+I259+I265</f>
        <v>82898</v>
      </c>
    </row>
    <row r="230" spans="1:9" ht="31.5">
      <c r="A230" s="19" t="s">
        <v>181</v>
      </c>
      <c r="B230" s="18" t="s">
        <v>183</v>
      </c>
      <c r="C230" s="18"/>
      <c r="D230" s="18"/>
      <c r="E230" s="18"/>
      <c r="F230" s="59">
        <f>F231</f>
        <v>16798100</v>
      </c>
      <c r="G230" s="59">
        <v>0</v>
      </c>
      <c r="H230" s="59">
        <f>H231</f>
        <v>18798100</v>
      </c>
      <c r="I230" s="59">
        <v>0</v>
      </c>
    </row>
    <row r="231" spans="1:9" ht="47.25">
      <c r="A231" s="38" t="s">
        <v>185</v>
      </c>
      <c r="B231" s="39" t="s">
        <v>184</v>
      </c>
      <c r="C231" s="39"/>
      <c r="D231" s="39"/>
      <c r="E231" s="39"/>
      <c r="F231" s="56">
        <f>F232+F235</f>
        <v>16798100</v>
      </c>
      <c r="G231" s="56">
        <v>0</v>
      </c>
      <c r="H231" s="56">
        <f>H232+H235</f>
        <v>18798100</v>
      </c>
      <c r="I231" s="56">
        <v>0</v>
      </c>
    </row>
    <row r="232" spans="1:9" ht="47.25">
      <c r="A232" s="38" t="s">
        <v>251</v>
      </c>
      <c r="B232" s="39" t="s">
        <v>184</v>
      </c>
      <c r="C232" s="39" t="s">
        <v>252</v>
      </c>
      <c r="D232" s="39"/>
      <c r="E232" s="39"/>
      <c r="F232" s="56">
        <f>F233</f>
        <v>3298100</v>
      </c>
      <c r="G232" s="56">
        <v>0</v>
      </c>
      <c r="H232" s="56">
        <f>H233</f>
        <v>3298100</v>
      </c>
      <c r="I232" s="56">
        <v>0</v>
      </c>
    </row>
    <row r="233" spans="1:9" ht="15.75">
      <c r="A233" s="38" t="s">
        <v>59</v>
      </c>
      <c r="B233" s="39" t="s">
        <v>184</v>
      </c>
      <c r="C233" s="39" t="s">
        <v>252</v>
      </c>
      <c r="D233" s="39" t="s">
        <v>275</v>
      </c>
      <c r="E233" s="39"/>
      <c r="F233" s="56">
        <f>F234</f>
        <v>3298100</v>
      </c>
      <c r="G233" s="56">
        <f>G234</f>
        <v>0</v>
      </c>
      <c r="H233" s="56">
        <f>H234</f>
        <v>3298100</v>
      </c>
      <c r="I233" s="56">
        <f>I234</f>
        <v>0</v>
      </c>
    </row>
    <row r="234" spans="1:9" s="11" customFormat="1" ht="15.75">
      <c r="A234" s="22" t="s">
        <v>61</v>
      </c>
      <c r="B234" s="23" t="s">
        <v>184</v>
      </c>
      <c r="C234" s="23" t="s">
        <v>252</v>
      </c>
      <c r="D234" s="23" t="s">
        <v>275</v>
      </c>
      <c r="E234" s="23" t="s">
        <v>257</v>
      </c>
      <c r="F234" s="56">
        <v>3298100</v>
      </c>
      <c r="G234" s="56">
        <v>0</v>
      </c>
      <c r="H234" s="56">
        <v>3298100</v>
      </c>
      <c r="I234" s="56">
        <v>0</v>
      </c>
    </row>
    <row r="235" spans="1:9" ht="15.75">
      <c r="A235" s="20" t="s">
        <v>273</v>
      </c>
      <c r="B235" s="21" t="s">
        <v>184</v>
      </c>
      <c r="C235" s="32" t="s">
        <v>274</v>
      </c>
      <c r="D235" s="31"/>
      <c r="E235" s="31"/>
      <c r="F235" s="44">
        <f>F236</f>
        <v>13500000</v>
      </c>
      <c r="G235" s="56">
        <v>0</v>
      </c>
      <c r="H235" s="44">
        <f>H236</f>
        <v>15500000</v>
      </c>
      <c r="I235" s="56">
        <v>0</v>
      </c>
    </row>
    <row r="236" spans="1:9" ht="15.75">
      <c r="A236" s="20" t="s">
        <v>59</v>
      </c>
      <c r="B236" s="21" t="s">
        <v>184</v>
      </c>
      <c r="C236" s="32" t="s">
        <v>274</v>
      </c>
      <c r="D236" s="32" t="s">
        <v>275</v>
      </c>
      <c r="E236" s="31"/>
      <c r="F236" s="44">
        <f>F237</f>
        <v>13500000</v>
      </c>
      <c r="G236" s="56">
        <v>0</v>
      </c>
      <c r="H236" s="44">
        <f>H237</f>
        <v>15500000</v>
      </c>
      <c r="I236" s="56">
        <v>0</v>
      </c>
    </row>
    <row r="237" spans="1:9" ht="15.75">
      <c r="A237" s="20" t="s">
        <v>63</v>
      </c>
      <c r="B237" s="31" t="s">
        <v>184</v>
      </c>
      <c r="C237" s="32" t="s">
        <v>274</v>
      </c>
      <c r="D237" s="32" t="s">
        <v>275</v>
      </c>
      <c r="E237" s="32" t="s">
        <v>268</v>
      </c>
      <c r="F237" s="44">
        <v>13500000</v>
      </c>
      <c r="G237" s="56">
        <v>0</v>
      </c>
      <c r="H237" s="44">
        <v>15500000</v>
      </c>
      <c r="I237" s="56">
        <v>0</v>
      </c>
    </row>
    <row r="238" spans="1:9" ht="31.5">
      <c r="A238" s="19" t="s">
        <v>187</v>
      </c>
      <c r="B238" s="18" t="s">
        <v>186</v>
      </c>
      <c r="C238" s="18"/>
      <c r="D238" s="18"/>
      <c r="E238" s="18"/>
      <c r="F238" s="59">
        <f>F239+F243+F247+F251+F255</f>
        <v>4465598</v>
      </c>
      <c r="G238" s="59">
        <f>G239+G243+G247+G251+G255</f>
        <v>82898</v>
      </c>
      <c r="H238" s="59">
        <f>H239+H243+H247+H251+H255</f>
        <v>4465598</v>
      </c>
      <c r="I238" s="59">
        <f>I239+I243+I247+I251+I255</f>
        <v>82898</v>
      </c>
    </row>
    <row r="239" spans="1:9" ht="47.25">
      <c r="A239" s="38" t="s">
        <v>168</v>
      </c>
      <c r="B239" s="39" t="s">
        <v>188</v>
      </c>
      <c r="C239" s="39"/>
      <c r="D239" s="39"/>
      <c r="E239" s="39"/>
      <c r="F239" s="56">
        <f>F240</f>
        <v>40000</v>
      </c>
      <c r="G239" s="56">
        <v>0</v>
      </c>
      <c r="H239" s="56">
        <f>H240</f>
        <v>40000</v>
      </c>
      <c r="I239" s="56">
        <v>0</v>
      </c>
    </row>
    <row r="240" spans="1:9" ht="47.25">
      <c r="A240" s="38" t="s">
        <v>251</v>
      </c>
      <c r="B240" s="39" t="s">
        <v>188</v>
      </c>
      <c r="C240" s="23" t="s">
        <v>252</v>
      </c>
      <c r="D240" s="39"/>
      <c r="E240" s="39"/>
      <c r="F240" s="56">
        <f>F241</f>
        <v>40000</v>
      </c>
      <c r="G240" s="56">
        <v>0</v>
      </c>
      <c r="H240" s="56">
        <f>H241</f>
        <v>40000</v>
      </c>
      <c r="I240" s="56">
        <v>0</v>
      </c>
    </row>
    <row r="241" spans="1:9" ht="15.75">
      <c r="A241" s="38" t="s">
        <v>59</v>
      </c>
      <c r="B241" s="39" t="s">
        <v>188</v>
      </c>
      <c r="C241" s="23" t="s">
        <v>252</v>
      </c>
      <c r="D241" s="39" t="s">
        <v>275</v>
      </c>
      <c r="E241" s="39"/>
      <c r="F241" s="56">
        <f>F242</f>
        <v>40000</v>
      </c>
      <c r="G241" s="56">
        <v>0</v>
      </c>
      <c r="H241" s="56">
        <f>H242</f>
        <v>40000</v>
      </c>
      <c r="I241" s="56">
        <v>0</v>
      </c>
    </row>
    <row r="242" spans="1:9" s="11" customFormat="1" ht="15.75">
      <c r="A242" s="38" t="s">
        <v>113</v>
      </c>
      <c r="B242" s="39" t="s">
        <v>188</v>
      </c>
      <c r="C242" s="23" t="s">
        <v>252</v>
      </c>
      <c r="D242" s="39" t="s">
        <v>275</v>
      </c>
      <c r="E242" s="39" t="s">
        <v>258</v>
      </c>
      <c r="F242" s="56">
        <v>40000</v>
      </c>
      <c r="G242" s="56">
        <v>0</v>
      </c>
      <c r="H242" s="56">
        <v>40000</v>
      </c>
      <c r="I242" s="56">
        <v>0</v>
      </c>
    </row>
    <row r="243" spans="1:9" ht="47.25">
      <c r="A243" s="38" t="s">
        <v>185</v>
      </c>
      <c r="B243" s="39" t="s">
        <v>189</v>
      </c>
      <c r="C243" s="39"/>
      <c r="D243" s="39"/>
      <c r="E243" s="39"/>
      <c r="F243" s="56">
        <f>F244</f>
        <v>4292700</v>
      </c>
      <c r="G243" s="56">
        <v>0</v>
      </c>
      <c r="H243" s="56">
        <f>H244</f>
        <v>4292700</v>
      </c>
      <c r="I243" s="56">
        <v>0</v>
      </c>
    </row>
    <row r="244" spans="1:9" ht="47.25">
      <c r="A244" s="38" t="s">
        <v>251</v>
      </c>
      <c r="B244" s="39" t="s">
        <v>189</v>
      </c>
      <c r="C244" s="23" t="s">
        <v>252</v>
      </c>
      <c r="D244" s="39"/>
      <c r="E244" s="39"/>
      <c r="F244" s="56">
        <f>F245</f>
        <v>4292700</v>
      </c>
      <c r="G244" s="56">
        <v>0</v>
      </c>
      <c r="H244" s="56">
        <f>H245</f>
        <v>4292700</v>
      </c>
      <c r="I244" s="56">
        <v>0</v>
      </c>
    </row>
    <row r="245" spans="1:9" ht="15.75">
      <c r="A245" s="38" t="s">
        <v>59</v>
      </c>
      <c r="B245" s="39" t="s">
        <v>189</v>
      </c>
      <c r="C245" s="23" t="s">
        <v>252</v>
      </c>
      <c r="D245" s="39" t="s">
        <v>275</v>
      </c>
      <c r="E245" s="39"/>
      <c r="F245" s="56">
        <f>F246</f>
        <v>4292700</v>
      </c>
      <c r="G245" s="56">
        <v>0</v>
      </c>
      <c r="H245" s="56">
        <f>H246</f>
        <v>4292700</v>
      </c>
      <c r="I245" s="56">
        <v>0</v>
      </c>
    </row>
    <row r="246" spans="1:9" ht="15.75">
      <c r="A246" s="38" t="s">
        <v>113</v>
      </c>
      <c r="B246" s="39" t="s">
        <v>189</v>
      </c>
      <c r="C246" s="23" t="s">
        <v>252</v>
      </c>
      <c r="D246" s="39" t="s">
        <v>275</v>
      </c>
      <c r="E246" s="39" t="s">
        <v>258</v>
      </c>
      <c r="F246" s="56">
        <f>4137700+155000</f>
        <v>4292700</v>
      </c>
      <c r="G246" s="56">
        <v>0</v>
      </c>
      <c r="H246" s="56">
        <f>1549500+2038200+100000+450000+155000</f>
        <v>4292700</v>
      </c>
      <c r="I246" s="56">
        <v>0</v>
      </c>
    </row>
    <row r="247" spans="1:9" s="74" customFormat="1" ht="31.5">
      <c r="A247" s="38" t="s">
        <v>162</v>
      </c>
      <c r="B247" s="23" t="s">
        <v>341</v>
      </c>
      <c r="C247" s="23"/>
      <c r="D247" s="39"/>
      <c r="E247" s="39"/>
      <c r="F247" s="56">
        <f aca="true" t="shared" si="26" ref="F247:I249">F248</f>
        <v>50000</v>
      </c>
      <c r="G247" s="56">
        <f t="shared" si="26"/>
        <v>0</v>
      </c>
      <c r="H247" s="56">
        <f t="shared" si="26"/>
        <v>50000</v>
      </c>
      <c r="I247" s="56">
        <f t="shared" si="26"/>
        <v>0</v>
      </c>
    </row>
    <row r="248" spans="1:9" s="74" customFormat="1" ht="31.5">
      <c r="A248" s="22" t="s">
        <v>260</v>
      </c>
      <c r="B248" s="23" t="s">
        <v>341</v>
      </c>
      <c r="C248" s="23" t="s">
        <v>261</v>
      </c>
      <c r="D248" s="39"/>
      <c r="E248" s="39"/>
      <c r="F248" s="56">
        <f t="shared" si="26"/>
        <v>50000</v>
      </c>
      <c r="G248" s="56">
        <f t="shared" si="26"/>
        <v>0</v>
      </c>
      <c r="H248" s="56">
        <f t="shared" si="26"/>
        <v>50000</v>
      </c>
      <c r="I248" s="56">
        <f t="shared" si="26"/>
        <v>0</v>
      </c>
    </row>
    <row r="249" spans="1:9" s="74" customFormat="1" ht="15.75">
      <c r="A249" s="38" t="s">
        <v>59</v>
      </c>
      <c r="B249" s="23" t="s">
        <v>341</v>
      </c>
      <c r="C249" s="23" t="s">
        <v>261</v>
      </c>
      <c r="D249" s="23" t="s">
        <v>275</v>
      </c>
      <c r="E249" s="39"/>
      <c r="F249" s="56">
        <f t="shared" si="26"/>
        <v>50000</v>
      </c>
      <c r="G249" s="56">
        <f t="shared" si="26"/>
        <v>0</v>
      </c>
      <c r="H249" s="56">
        <f t="shared" si="26"/>
        <v>50000</v>
      </c>
      <c r="I249" s="56">
        <f t="shared" si="26"/>
        <v>0</v>
      </c>
    </row>
    <row r="250" spans="1:9" s="74" customFormat="1" ht="15.75">
      <c r="A250" s="38" t="s">
        <v>113</v>
      </c>
      <c r="B250" s="23" t="s">
        <v>341</v>
      </c>
      <c r="C250" s="23" t="s">
        <v>261</v>
      </c>
      <c r="D250" s="23" t="s">
        <v>275</v>
      </c>
      <c r="E250" s="23" t="s">
        <v>258</v>
      </c>
      <c r="F250" s="56">
        <v>50000</v>
      </c>
      <c r="G250" s="56">
        <v>0</v>
      </c>
      <c r="H250" s="56">
        <v>50000</v>
      </c>
      <c r="I250" s="56">
        <v>0</v>
      </c>
    </row>
    <row r="251" spans="1:9" s="74" customFormat="1" ht="54" customHeight="1">
      <c r="A251" s="22" t="s">
        <v>346</v>
      </c>
      <c r="B251" s="23" t="s">
        <v>345</v>
      </c>
      <c r="C251" s="32"/>
      <c r="D251" s="31"/>
      <c r="E251" s="31"/>
      <c r="F251" s="44">
        <f aca="true" t="shared" si="27" ref="F251:I253">F252</f>
        <v>65278</v>
      </c>
      <c r="G251" s="44">
        <f t="shared" si="27"/>
        <v>65278</v>
      </c>
      <c r="H251" s="44">
        <f t="shared" si="27"/>
        <v>65278</v>
      </c>
      <c r="I251" s="44">
        <f t="shared" si="27"/>
        <v>65278</v>
      </c>
    </row>
    <row r="252" spans="1:9" s="74" customFormat="1" ht="31.5">
      <c r="A252" s="22" t="s">
        <v>260</v>
      </c>
      <c r="B252" s="23" t="s">
        <v>345</v>
      </c>
      <c r="C252" s="32" t="s">
        <v>261</v>
      </c>
      <c r="D252" s="31"/>
      <c r="E252" s="31"/>
      <c r="F252" s="44">
        <f t="shared" si="27"/>
        <v>65278</v>
      </c>
      <c r="G252" s="44">
        <f t="shared" si="27"/>
        <v>65278</v>
      </c>
      <c r="H252" s="44">
        <f t="shared" si="27"/>
        <v>65278</v>
      </c>
      <c r="I252" s="44">
        <f t="shared" si="27"/>
        <v>65278</v>
      </c>
    </row>
    <row r="253" spans="1:9" s="74" customFormat="1" ht="15.75">
      <c r="A253" s="20" t="s">
        <v>57</v>
      </c>
      <c r="B253" s="23" t="s">
        <v>345</v>
      </c>
      <c r="C253" s="32" t="s">
        <v>261</v>
      </c>
      <c r="D253" s="32" t="s">
        <v>269</v>
      </c>
      <c r="E253" s="31"/>
      <c r="F253" s="44">
        <f t="shared" si="27"/>
        <v>65278</v>
      </c>
      <c r="G253" s="44">
        <f t="shared" si="27"/>
        <v>65278</v>
      </c>
      <c r="H253" s="44">
        <f t="shared" si="27"/>
        <v>65278</v>
      </c>
      <c r="I253" s="44">
        <f t="shared" si="27"/>
        <v>65278</v>
      </c>
    </row>
    <row r="254" spans="1:9" s="74" customFormat="1" ht="15.75">
      <c r="A254" s="22" t="s">
        <v>351</v>
      </c>
      <c r="B254" s="23" t="s">
        <v>345</v>
      </c>
      <c r="C254" s="32" t="s">
        <v>261</v>
      </c>
      <c r="D254" s="32" t="s">
        <v>269</v>
      </c>
      <c r="E254" s="32" t="s">
        <v>275</v>
      </c>
      <c r="F254" s="44">
        <v>65278</v>
      </c>
      <c r="G254" s="44">
        <v>65278</v>
      </c>
      <c r="H254" s="44">
        <v>65278</v>
      </c>
      <c r="I254" s="44">
        <v>65278</v>
      </c>
    </row>
    <row r="255" spans="1:9" s="74" customFormat="1" ht="63">
      <c r="A255" s="22" t="s">
        <v>348</v>
      </c>
      <c r="B255" s="23" t="s">
        <v>347</v>
      </c>
      <c r="C255" s="32"/>
      <c r="D255" s="32"/>
      <c r="E255" s="32"/>
      <c r="F255" s="44">
        <f aca="true" t="shared" si="28" ref="F255:I257">F256</f>
        <v>17620</v>
      </c>
      <c r="G255" s="44">
        <f t="shared" si="28"/>
        <v>17620</v>
      </c>
      <c r="H255" s="44">
        <f t="shared" si="28"/>
        <v>17620</v>
      </c>
      <c r="I255" s="44">
        <f t="shared" si="28"/>
        <v>17620</v>
      </c>
    </row>
    <row r="256" spans="1:9" s="74" customFormat="1" ht="31.5">
      <c r="A256" s="22" t="s">
        <v>260</v>
      </c>
      <c r="B256" s="23" t="s">
        <v>347</v>
      </c>
      <c r="C256" s="32" t="s">
        <v>261</v>
      </c>
      <c r="D256" s="32"/>
      <c r="E256" s="32"/>
      <c r="F256" s="44">
        <f t="shared" si="28"/>
        <v>17620</v>
      </c>
      <c r="G256" s="44">
        <f t="shared" si="28"/>
        <v>17620</v>
      </c>
      <c r="H256" s="44">
        <f t="shared" si="28"/>
        <v>17620</v>
      </c>
      <c r="I256" s="44">
        <f t="shared" si="28"/>
        <v>17620</v>
      </c>
    </row>
    <row r="257" spans="1:9" s="74" customFormat="1" ht="15.75">
      <c r="A257" s="20" t="s">
        <v>57</v>
      </c>
      <c r="B257" s="23" t="s">
        <v>347</v>
      </c>
      <c r="C257" s="32" t="s">
        <v>261</v>
      </c>
      <c r="D257" s="32" t="s">
        <v>269</v>
      </c>
      <c r="E257" s="32"/>
      <c r="F257" s="44">
        <f t="shared" si="28"/>
        <v>17620</v>
      </c>
      <c r="G257" s="44">
        <f t="shared" si="28"/>
        <v>17620</v>
      </c>
      <c r="H257" s="44">
        <f t="shared" si="28"/>
        <v>17620</v>
      </c>
      <c r="I257" s="44">
        <f t="shared" si="28"/>
        <v>17620</v>
      </c>
    </row>
    <row r="258" spans="1:9" s="74" customFormat="1" ht="15.75">
      <c r="A258" s="22" t="s">
        <v>351</v>
      </c>
      <c r="B258" s="23" t="s">
        <v>347</v>
      </c>
      <c r="C258" s="32" t="s">
        <v>261</v>
      </c>
      <c r="D258" s="32" t="s">
        <v>269</v>
      </c>
      <c r="E258" s="32" t="s">
        <v>275</v>
      </c>
      <c r="F258" s="44">
        <v>17620</v>
      </c>
      <c r="G258" s="44">
        <v>17620</v>
      </c>
      <c r="H258" s="44">
        <v>17620</v>
      </c>
      <c r="I258" s="44">
        <v>17620</v>
      </c>
    </row>
    <row r="259" spans="1:9" ht="47.25">
      <c r="A259" s="19" t="s">
        <v>190</v>
      </c>
      <c r="B259" s="18" t="s">
        <v>191</v>
      </c>
      <c r="C259" s="18"/>
      <c r="D259" s="18"/>
      <c r="E259" s="18"/>
      <c r="F259" s="59">
        <f>F260</f>
        <v>3220000</v>
      </c>
      <c r="G259" s="59">
        <v>0</v>
      </c>
      <c r="H259" s="59">
        <f>H260</f>
        <v>3220000</v>
      </c>
      <c r="I259" s="59">
        <v>0</v>
      </c>
    </row>
    <row r="260" spans="1:9" s="11" customFormat="1" ht="63">
      <c r="A260" s="38" t="s">
        <v>199</v>
      </c>
      <c r="B260" s="39" t="s">
        <v>192</v>
      </c>
      <c r="C260" s="39"/>
      <c r="D260" s="39"/>
      <c r="E260" s="39"/>
      <c r="F260" s="56">
        <f>F261</f>
        <v>3220000</v>
      </c>
      <c r="G260" s="56">
        <v>0</v>
      </c>
      <c r="H260" s="56">
        <f>H261</f>
        <v>3220000</v>
      </c>
      <c r="I260" s="56">
        <v>0</v>
      </c>
    </row>
    <row r="261" spans="1:9" ht="47.25">
      <c r="A261" s="38" t="s">
        <v>251</v>
      </c>
      <c r="B261" s="39" t="s">
        <v>192</v>
      </c>
      <c r="C261" s="39" t="s">
        <v>252</v>
      </c>
      <c r="D261" s="39"/>
      <c r="E261" s="39"/>
      <c r="F261" s="56">
        <f>F262</f>
        <v>3220000</v>
      </c>
      <c r="G261" s="56">
        <v>0</v>
      </c>
      <c r="H261" s="56">
        <f>H262</f>
        <v>3220000</v>
      </c>
      <c r="I261" s="56">
        <v>0</v>
      </c>
    </row>
    <row r="262" spans="1:9" ht="15.75">
      <c r="A262" s="38" t="s">
        <v>59</v>
      </c>
      <c r="B262" s="39" t="s">
        <v>192</v>
      </c>
      <c r="C262" s="39" t="s">
        <v>252</v>
      </c>
      <c r="D262" s="39" t="s">
        <v>275</v>
      </c>
      <c r="E262" s="39"/>
      <c r="F262" s="56">
        <f>F263+F264</f>
        <v>3220000</v>
      </c>
      <c r="G262" s="56">
        <v>0</v>
      </c>
      <c r="H262" s="56">
        <f>H263+H264</f>
        <v>3220000</v>
      </c>
      <c r="I262" s="56">
        <v>0</v>
      </c>
    </row>
    <row r="263" spans="1:9" ht="15.75">
      <c r="A263" s="38" t="s">
        <v>63</v>
      </c>
      <c r="B263" s="39" t="s">
        <v>192</v>
      </c>
      <c r="C263" s="39" t="s">
        <v>252</v>
      </c>
      <c r="D263" s="39" t="s">
        <v>275</v>
      </c>
      <c r="E263" s="39" t="s">
        <v>268</v>
      </c>
      <c r="F263" s="56">
        <v>1870000</v>
      </c>
      <c r="G263" s="56">
        <v>0</v>
      </c>
      <c r="H263" s="56">
        <v>1870000</v>
      </c>
      <c r="I263" s="56">
        <v>0</v>
      </c>
    </row>
    <row r="264" spans="1:9" ht="15.75">
      <c r="A264" s="22" t="s">
        <v>61</v>
      </c>
      <c r="B264" s="39" t="s">
        <v>192</v>
      </c>
      <c r="C264" s="23" t="s">
        <v>252</v>
      </c>
      <c r="D264" s="23" t="s">
        <v>275</v>
      </c>
      <c r="E264" s="23" t="s">
        <v>257</v>
      </c>
      <c r="F264" s="56">
        <v>1350000</v>
      </c>
      <c r="G264" s="56">
        <v>0</v>
      </c>
      <c r="H264" s="56">
        <v>1350000</v>
      </c>
      <c r="I264" s="56">
        <v>0</v>
      </c>
    </row>
    <row r="265" spans="1:9" ht="63">
      <c r="A265" s="19" t="s">
        <v>294</v>
      </c>
      <c r="B265" s="18" t="s">
        <v>193</v>
      </c>
      <c r="C265" s="18"/>
      <c r="D265" s="18"/>
      <c r="E265" s="18"/>
      <c r="F265" s="59">
        <f>F266</f>
        <v>16906500</v>
      </c>
      <c r="G265" s="59">
        <f>G266</f>
        <v>0</v>
      </c>
      <c r="H265" s="59">
        <f>H266</f>
        <v>16906500</v>
      </c>
      <c r="I265" s="59">
        <f>I266</f>
        <v>0</v>
      </c>
    </row>
    <row r="266" spans="1:9" ht="63">
      <c r="A266" s="38" t="s">
        <v>14</v>
      </c>
      <c r="B266" s="39" t="s">
        <v>194</v>
      </c>
      <c r="C266" s="39"/>
      <c r="D266" s="39"/>
      <c r="E266" s="39"/>
      <c r="F266" s="56">
        <f>F267</f>
        <v>16906500</v>
      </c>
      <c r="G266" s="56">
        <v>0</v>
      </c>
      <c r="H266" s="56">
        <f>H267</f>
        <v>16906500</v>
      </c>
      <c r="I266" s="56">
        <v>0</v>
      </c>
    </row>
    <row r="267" spans="1:9" ht="47.25">
      <c r="A267" s="38" t="s">
        <v>251</v>
      </c>
      <c r="B267" s="39" t="s">
        <v>194</v>
      </c>
      <c r="C267" s="39" t="s">
        <v>252</v>
      </c>
      <c r="D267" s="39"/>
      <c r="E267" s="39"/>
      <c r="F267" s="56">
        <f>F268</f>
        <v>16906500</v>
      </c>
      <c r="G267" s="56">
        <v>0</v>
      </c>
      <c r="H267" s="56">
        <f>H268</f>
        <v>16906500</v>
      </c>
      <c r="I267" s="56">
        <v>0</v>
      </c>
    </row>
    <row r="268" spans="1:9" ht="15.75">
      <c r="A268" s="38" t="s">
        <v>59</v>
      </c>
      <c r="B268" s="39" t="s">
        <v>194</v>
      </c>
      <c r="C268" s="39" t="s">
        <v>252</v>
      </c>
      <c r="D268" s="39" t="s">
        <v>275</v>
      </c>
      <c r="E268" s="39"/>
      <c r="F268" s="56">
        <f>F269</f>
        <v>16906500</v>
      </c>
      <c r="G268" s="56">
        <v>0</v>
      </c>
      <c r="H268" s="56">
        <f>H269</f>
        <v>16906500</v>
      </c>
      <c r="I268" s="56">
        <v>0</v>
      </c>
    </row>
    <row r="269" spans="1:9" ht="31.5">
      <c r="A269" s="38" t="s">
        <v>60</v>
      </c>
      <c r="B269" s="39" t="s">
        <v>194</v>
      </c>
      <c r="C269" s="39" t="s">
        <v>252</v>
      </c>
      <c r="D269" s="39" t="s">
        <v>275</v>
      </c>
      <c r="E269" s="39" t="s">
        <v>275</v>
      </c>
      <c r="F269" s="56">
        <v>16906500</v>
      </c>
      <c r="G269" s="56">
        <v>0</v>
      </c>
      <c r="H269" s="56">
        <v>16906500</v>
      </c>
      <c r="I269" s="56">
        <v>0</v>
      </c>
    </row>
    <row r="270" spans="1:9" ht="63">
      <c r="A270" s="19" t="s">
        <v>198</v>
      </c>
      <c r="B270" s="18" t="s">
        <v>195</v>
      </c>
      <c r="C270" s="18"/>
      <c r="D270" s="18"/>
      <c r="E270" s="18"/>
      <c r="F270" s="59">
        <f>F271+F276+F292+F297</f>
        <v>48185400</v>
      </c>
      <c r="G270" s="59">
        <v>0</v>
      </c>
      <c r="H270" s="59">
        <f>H271+H276+H292+H297</f>
        <v>14855590</v>
      </c>
      <c r="I270" s="59">
        <v>0</v>
      </c>
    </row>
    <row r="271" spans="1:9" ht="47.25">
      <c r="A271" s="19" t="s">
        <v>197</v>
      </c>
      <c r="B271" s="18" t="s">
        <v>196</v>
      </c>
      <c r="C271" s="18"/>
      <c r="D271" s="18"/>
      <c r="E271" s="18"/>
      <c r="F271" s="59">
        <f>F272</f>
        <v>20000</v>
      </c>
      <c r="G271" s="59">
        <v>0</v>
      </c>
      <c r="H271" s="59">
        <f>H272</f>
        <v>20000</v>
      </c>
      <c r="I271" s="59">
        <v>0</v>
      </c>
    </row>
    <row r="272" spans="1:9" ht="31.5">
      <c r="A272" s="38" t="s">
        <v>162</v>
      </c>
      <c r="B272" s="39" t="s">
        <v>200</v>
      </c>
      <c r="C272" s="39"/>
      <c r="D272" s="39"/>
      <c r="E272" s="39"/>
      <c r="F272" s="56">
        <f>F273</f>
        <v>20000</v>
      </c>
      <c r="G272" s="56">
        <v>0</v>
      </c>
      <c r="H272" s="56">
        <f>H273</f>
        <v>20000</v>
      </c>
      <c r="I272" s="56">
        <v>0</v>
      </c>
    </row>
    <row r="273" spans="1:9" s="13" customFormat="1" ht="47.25">
      <c r="A273" s="20" t="s">
        <v>251</v>
      </c>
      <c r="B273" s="21" t="s">
        <v>200</v>
      </c>
      <c r="C273" s="31" t="s">
        <v>252</v>
      </c>
      <c r="D273" s="31"/>
      <c r="E273" s="31"/>
      <c r="F273" s="44">
        <f>F274</f>
        <v>20000</v>
      </c>
      <c r="G273" s="56">
        <v>0</v>
      </c>
      <c r="H273" s="44">
        <f>H274</f>
        <v>20000</v>
      </c>
      <c r="I273" s="56">
        <v>0</v>
      </c>
    </row>
    <row r="274" spans="1:9" s="13" customFormat="1" ht="15.75">
      <c r="A274" s="20" t="s">
        <v>253</v>
      </c>
      <c r="B274" s="21" t="s">
        <v>200</v>
      </c>
      <c r="C274" s="31" t="s">
        <v>252</v>
      </c>
      <c r="D274" s="31" t="s">
        <v>254</v>
      </c>
      <c r="E274" s="31"/>
      <c r="F274" s="44">
        <f>F275</f>
        <v>20000</v>
      </c>
      <c r="G274" s="56">
        <v>0</v>
      </c>
      <c r="H274" s="44">
        <f>H275</f>
        <v>20000</v>
      </c>
      <c r="I274" s="56">
        <v>0</v>
      </c>
    </row>
    <row r="275" spans="1:9" s="13" customFormat="1" ht="15.75">
      <c r="A275" s="20" t="s">
        <v>267</v>
      </c>
      <c r="B275" s="21" t="s">
        <v>200</v>
      </c>
      <c r="C275" s="31" t="s">
        <v>252</v>
      </c>
      <c r="D275" s="31" t="s">
        <v>254</v>
      </c>
      <c r="E275" s="31" t="s">
        <v>254</v>
      </c>
      <c r="F275" s="44">
        <v>20000</v>
      </c>
      <c r="G275" s="56">
        <v>0</v>
      </c>
      <c r="H275" s="44">
        <v>20000</v>
      </c>
      <c r="I275" s="56">
        <v>0</v>
      </c>
    </row>
    <row r="276" spans="1:9" s="13" customFormat="1" ht="63">
      <c r="A276" s="19" t="s">
        <v>109</v>
      </c>
      <c r="B276" s="18" t="s">
        <v>201</v>
      </c>
      <c r="C276" s="18"/>
      <c r="D276" s="18"/>
      <c r="E276" s="18"/>
      <c r="F276" s="59">
        <f>F277+F284+F288</f>
        <v>47818400</v>
      </c>
      <c r="G276" s="59">
        <v>0</v>
      </c>
      <c r="H276" s="59">
        <f>H277+H284+H288</f>
        <v>14388590</v>
      </c>
      <c r="I276" s="59">
        <v>0</v>
      </c>
    </row>
    <row r="277" spans="1:9" s="13" customFormat="1" ht="63">
      <c r="A277" s="38" t="s">
        <v>14</v>
      </c>
      <c r="B277" s="23" t="s">
        <v>202</v>
      </c>
      <c r="C277" s="23"/>
      <c r="D277" s="23"/>
      <c r="E277" s="23"/>
      <c r="F277" s="56">
        <f>F278+F281</f>
        <v>12364190</v>
      </c>
      <c r="G277" s="56">
        <v>0</v>
      </c>
      <c r="H277" s="56">
        <f>H278+H281</f>
        <v>13164190</v>
      </c>
      <c r="I277" s="56">
        <v>0</v>
      </c>
    </row>
    <row r="278" spans="1:9" ht="78.75">
      <c r="A278" s="22" t="s">
        <v>271</v>
      </c>
      <c r="B278" s="23" t="s">
        <v>202</v>
      </c>
      <c r="C278" s="23" t="s">
        <v>272</v>
      </c>
      <c r="D278" s="23"/>
      <c r="E278" s="23"/>
      <c r="F278" s="56">
        <f>F279</f>
        <v>11631500</v>
      </c>
      <c r="G278" s="56">
        <v>0</v>
      </c>
      <c r="H278" s="56">
        <f>H279</f>
        <v>11631500</v>
      </c>
      <c r="I278" s="56">
        <v>0</v>
      </c>
    </row>
    <row r="279" spans="1:9" s="13" customFormat="1" ht="31.5">
      <c r="A279" s="38" t="s">
        <v>58</v>
      </c>
      <c r="B279" s="23" t="s">
        <v>202</v>
      </c>
      <c r="C279" s="23" t="s">
        <v>272</v>
      </c>
      <c r="D279" s="23" t="s">
        <v>258</v>
      </c>
      <c r="E279" s="23"/>
      <c r="F279" s="56">
        <f>F280</f>
        <v>11631500</v>
      </c>
      <c r="G279" s="56">
        <v>0</v>
      </c>
      <c r="H279" s="56">
        <f>H280</f>
        <v>11631500</v>
      </c>
      <c r="I279" s="56">
        <v>0</v>
      </c>
    </row>
    <row r="280" spans="1:9" s="13" customFormat="1" ht="47.25">
      <c r="A280" s="22" t="s">
        <v>116</v>
      </c>
      <c r="B280" s="23" t="s">
        <v>202</v>
      </c>
      <c r="C280" s="23" t="s">
        <v>272</v>
      </c>
      <c r="D280" s="23" t="s">
        <v>258</v>
      </c>
      <c r="E280" s="23" t="s">
        <v>256</v>
      </c>
      <c r="F280" s="56">
        <v>11631500</v>
      </c>
      <c r="G280" s="56">
        <v>0</v>
      </c>
      <c r="H280" s="56">
        <v>11631500</v>
      </c>
      <c r="I280" s="56">
        <v>0</v>
      </c>
    </row>
    <row r="281" spans="1:9" s="13" customFormat="1" ht="31.5">
      <c r="A281" s="22" t="s">
        <v>260</v>
      </c>
      <c r="B281" s="23" t="s">
        <v>202</v>
      </c>
      <c r="C281" s="23" t="s">
        <v>261</v>
      </c>
      <c r="D281" s="23"/>
      <c r="E281" s="23"/>
      <c r="F281" s="56">
        <f>F282</f>
        <v>732690</v>
      </c>
      <c r="G281" s="56">
        <v>0</v>
      </c>
      <c r="H281" s="56">
        <f>H282</f>
        <v>1532690</v>
      </c>
      <c r="I281" s="56">
        <v>0</v>
      </c>
    </row>
    <row r="282" spans="1:9" s="13" customFormat="1" ht="31.5">
      <c r="A282" s="38" t="s">
        <v>58</v>
      </c>
      <c r="B282" s="23" t="s">
        <v>202</v>
      </c>
      <c r="C282" s="23" t="s">
        <v>261</v>
      </c>
      <c r="D282" s="23" t="s">
        <v>258</v>
      </c>
      <c r="E282" s="23"/>
      <c r="F282" s="56">
        <f>F283</f>
        <v>732690</v>
      </c>
      <c r="G282" s="56">
        <v>0</v>
      </c>
      <c r="H282" s="56">
        <f>H283</f>
        <v>1532690</v>
      </c>
      <c r="I282" s="56">
        <v>0</v>
      </c>
    </row>
    <row r="283" spans="1:9" s="13" customFormat="1" ht="47.25">
      <c r="A283" s="22" t="s">
        <v>116</v>
      </c>
      <c r="B283" s="23" t="s">
        <v>202</v>
      </c>
      <c r="C283" s="23" t="s">
        <v>261</v>
      </c>
      <c r="D283" s="39" t="s">
        <v>258</v>
      </c>
      <c r="E283" s="39" t="s">
        <v>256</v>
      </c>
      <c r="F283" s="56">
        <v>732690</v>
      </c>
      <c r="G283" s="56">
        <v>0</v>
      </c>
      <c r="H283" s="56">
        <v>1532690</v>
      </c>
      <c r="I283" s="56">
        <v>0</v>
      </c>
    </row>
    <row r="284" spans="1:9" s="13" customFormat="1" ht="15.75">
      <c r="A284" s="22" t="s">
        <v>204</v>
      </c>
      <c r="B284" s="23" t="s">
        <v>203</v>
      </c>
      <c r="C284" s="23"/>
      <c r="D284" s="23"/>
      <c r="E284" s="23"/>
      <c r="F284" s="56">
        <f>F285</f>
        <v>1000000</v>
      </c>
      <c r="G284" s="56">
        <v>0</v>
      </c>
      <c r="H284" s="56">
        <f>H285</f>
        <v>1000000</v>
      </c>
      <c r="I284" s="56">
        <v>0</v>
      </c>
    </row>
    <row r="285" spans="1:9" s="13" customFormat="1" ht="15.75">
      <c r="A285" s="22" t="s">
        <v>273</v>
      </c>
      <c r="B285" s="23" t="s">
        <v>203</v>
      </c>
      <c r="C285" s="23" t="s">
        <v>274</v>
      </c>
      <c r="D285" s="23"/>
      <c r="E285" s="23"/>
      <c r="F285" s="56">
        <f>F286</f>
        <v>1000000</v>
      </c>
      <c r="G285" s="56">
        <v>0</v>
      </c>
      <c r="H285" s="56">
        <f>H286</f>
        <v>1000000</v>
      </c>
      <c r="I285" s="56">
        <v>0</v>
      </c>
    </row>
    <row r="286" spans="1:9" s="13" customFormat="1" ht="15.75">
      <c r="A286" s="38" t="s">
        <v>53</v>
      </c>
      <c r="B286" s="23" t="s">
        <v>203</v>
      </c>
      <c r="C286" s="23" t="s">
        <v>274</v>
      </c>
      <c r="D286" s="23" t="s">
        <v>268</v>
      </c>
      <c r="E286" s="23"/>
      <c r="F286" s="56">
        <f>F287</f>
        <v>1000000</v>
      </c>
      <c r="G286" s="56">
        <v>0</v>
      </c>
      <c r="H286" s="56">
        <f>H287</f>
        <v>1000000</v>
      </c>
      <c r="I286" s="56">
        <v>0</v>
      </c>
    </row>
    <row r="287" spans="1:9" s="13" customFormat="1" ht="15.75">
      <c r="A287" s="22" t="s">
        <v>124</v>
      </c>
      <c r="B287" s="23" t="s">
        <v>203</v>
      </c>
      <c r="C287" s="23" t="s">
        <v>274</v>
      </c>
      <c r="D287" s="23" t="s">
        <v>268</v>
      </c>
      <c r="E287" s="23" t="s">
        <v>42</v>
      </c>
      <c r="F287" s="56">
        <v>1000000</v>
      </c>
      <c r="G287" s="56">
        <v>0</v>
      </c>
      <c r="H287" s="56">
        <v>1000000</v>
      </c>
      <c r="I287" s="56">
        <v>0</v>
      </c>
    </row>
    <row r="288" spans="1:9" s="13" customFormat="1" ht="31.5">
      <c r="A288" s="38" t="s">
        <v>162</v>
      </c>
      <c r="B288" s="23" t="s">
        <v>205</v>
      </c>
      <c r="C288" s="23"/>
      <c r="D288" s="23"/>
      <c r="E288" s="23"/>
      <c r="F288" s="56">
        <f>F289</f>
        <v>34454210</v>
      </c>
      <c r="G288" s="56">
        <v>0</v>
      </c>
      <c r="H288" s="56">
        <f>H289</f>
        <v>224400</v>
      </c>
      <c r="I288" s="56">
        <v>0</v>
      </c>
    </row>
    <row r="289" spans="1:9" s="11" customFormat="1" ht="31.5">
      <c r="A289" s="22" t="s">
        <v>260</v>
      </c>
      <c r="B289" s="23" t="s">
        <v>205</v>
      </c>
      <c r="C289" s="23" t="s">
        <v>261</v>
      </c>
      <c r="D289" s="23"/>
      <c r="E289" s="23"/>
      <c r="F289" s="56">
        <f>F290</f>
        <v>34454210</v>
      </c>
      <c r="G289" s="56">
        <f>G290</f>
        <v>0</v>
      </c>
      <c r="H289" s="56">
        <f>H290</f>
        <v>224400</v>
      </c>
      <c r="I289" s="56">
        <f>I290</f>
        <v>0</v>
      </c>
    </row>
    <row r="290" spans="1:9" s="13" customFormat="1" ht="15.75">
      <c r="A290" s="38" t="s">
        <v>53</v>
      </c>
      <c r="B290" s="23" t="s">
        <v>205</v>
      </c>
      <c r="C290" s="23" t="s">
        <v>261</v>
      </c>
      <c r="D290" s="23" t="s">
        <v>268</v>
      </c>
      <c r="E290" s="23"/>
      <c r="F290" s="56">
        <f>F291</f>
        <v>34454210</v>
      </c>
      <c r="G290" s="56">
        <v>0</v>
      </c>
      <c r="H290" s="56">
        <f>H291</f>
        <v>224400</v>
      </c>
      <c r="I290" s="56">
        <v>0</v>
      </c>
    </row>
    <row r="291" spans="1:9" s="13" customFormat="1" ht="15.75">
      <c r="A291" s="38" t="s">
        <v>54</v>
      </c>
      <c r="B291" s="23" t="s">
        <v>205</v>
      </c>
      <c r="C291" s="23" t="s">
        <v>261</v>
      </c>
      <c r="D291" s="23" t="s">
        <v>268</v>
      </c>
      <c r="E291" s="23" t="s">
        <v>55</v>
      </c>
      <c r="F291" s="56">
        <f>224400+34229810</f>
        <v>34454210</v>
      </c>
      <c r="G291" s="56">
        <v>0</v>
      </c>
      <c r="H291" s="56">
        <f>224400</f>
        <v>224400</v>
      </c>
      <c r="I291" s="56">
        <v>0</v>
      </c>
    </row>
    <row r="292" spans="1:9" s="11" customFormat="1" ht="31.5">
      <c r="A292" s="19" t="s">
        <v>206</v>
      </c>
      <c r="B292" s="18" t="s">
        <v>207</v>
      </c>
      <c r="C292" s="18"/>
      <c r="D292" s="18"/>
      <c r="E292" s="18"/>
      <c r="F292" s="59">
        <f>F293</f>
        <v>1000</v>
      </c>
      <c r="G292" s="59">
        <v>0</v>
      </c>
      <c r="H292" s="59">
        <f>H293</f>
        <v>1000</v>
      </c>
      <c r="I292" s="59">
        <v>0</v>
      </c>
    </row>
    <row r="293" spans="1:9" ht="31.5">
      <c r="A293" s="38" t="s">
        <v>162</v>
      </c>
      <c r="B293" s="23" t="s">
        <v>208</v>
      </c>
      <c r="C293" s="23"/>
      <c r="D293" s="23"/>
      <c r="E293" s="23"/>
      <c r="F293" s="56">
        <f>F294</f>
        <v>1000</v>
      </c>
      <c r="G293" s="56">
        <v>0</v>
      </c>
      <c r="H293" s="56">
        <f>H294</f>
        <v>1000</v>
      </c>
      <c r="I293" s="56">
        <v>0</v>
      </c>
    </row>
    <row r="294" spans="1:9" ht="33.75" customHeight="1">
      <c r="A294" s="22" t="s">
        <v>260</v>
      </c>
      <c r="B294" s="23" t="s">
        <v>208</v>
      </c>
      <c r="C294" s="23" t="s">
        <v>261</v>
      </c>
      <c r="D294" s="23"/>
      <c r="E294" s="23"/>
      <c r="F294" s="56">
        <f>F295</f>
        <v>1000</v>
      </c>
      <c r="G294" s="56">
        <v>0</v>
      </c>
      <c r="H294" s="56">
        <f>H295</f>
        <v>1000</v>
      </c>
      <c r="I294" s="56">
        <v>0</v>
      </c>
    </row>
    <row r="295" spans="1:9" ht="15.75">
      <c r="A295" s="38" t="s">
        <v>53</v>
      </c>
      <c r="B295" s="23" t="s">
        <v>208</v>
      </c>
      <c r="C295" s="23" t="s">
        <v>261</v>
      </c>
      <c r="D295" s="23" t="s">
        <v>268</v>
      </c>
      <c r="E295" s="23"/>
      <c r="F295" s="56">
        <f>F296</f>
        <v>1000</v>
      </c>
      <c r="G295" s="56">
        <v>0</v>
      </c>
      <c r="H295" s="56">
        <f>H296</f>
        <v>1000</v>
      </c>
      <c r="I295" s="56">
        <v>0</v>
      </c>
    </row>
    <row r="296" spans="1:9" ht="15.75">
      <c r="A296" s="38" t="s">
        <v>54</v>
      </c>
      <c r="B296" s="23" t="s">
        <v>208</v>
      </c>
      <c r="C296" s="23" t="s">
        <v>261</v>
      </c>
      <c r="D296" s="23" t="s">
        <v>268</v>
      </c>
      <c r="E296" s="23" t="s">
        <v>55</v>
      </c>
      <c r="F296" s="56">
        <v>1000</v>
      </c>
      <c r="G296" s="56">
        <v>0</v>
      </c>
      <c r="H296" s="56">
        <v>1000</v>
      </c>
      <c r="I296" s="56">
        <v>0</v>
      </c>
    </row>
    <row r="297" spans="1:9" ht="29.25" customHeight="1">
      <c r="A297" s="19" t="s">
        <v>209</v>
      </c>
      <c r="B297" s="18" t="s">
        <v>210</v>
      </c>
      <c r="C297" s="18"/>
      <c r="D297" s="18"/>
      <c r="E297" s="18"/>
      <c r="F297" s="59">
        <f>F298+F302</f>
        <v>346000</v>
      </c>
      <c r="G297" s="59">
        <v>0</v>
      </c>
      <c r="H297" s="59">
        <f>H298+H302</f>
        <v>446000</v>
      </c>
      <c r="I297" s="59">
        <v>0</v>
      </c>
    </row>
    <row r="298" spans="1:9" ht="47.25">
      <c r="A298" s="38" t="s">
        <v>185</v>
      </c>
      <c r="B298" s="39" t="s">
        <v>278</v>
      </c>
      <c r="C298" s="39"/>
      <c r="D298" s="39"/>
      <c r="E298" s="39"/>
      <c r="F298" s="56">
        <f>F299</f>
        <v>231000</v>
      </c>
      <c r="G298" s="56">
        <v>0</v>
      </c>
      <c r="H298" s="56">
        <f>H299</f>
        <v>231000</v>
      </c>
      <c r="I298" s="56">
        <v>0</v>
      </c>
    </row>
    <row r="299" spans="1:9" ht="47.25">
      <c r="A299" s="38" t="s">
        <v>251</v>
      </c>
      <c r="B299" s="39" t="s">
        <v>278</v>
      </c>
      <c r="C299" s="39" t="s">
        <v>252</v>
      </c>
      <c r="D299" s="39"/>
      <c r="E299" s="39"/>
      <c r="F299" s="56">
        <f>F300</f>
        <v>231000</v>
      </c>
      <c r="G299" s="56">
        <v>0</v>
      </c>
      <c r="H299" s="56">
        <f>H300</f>
        <v>231000</v>
      </c>
      <c r="I299" s="56">
        <v>0</v>
      </c>
    </row>
    <row r="300" spans="1:9" s="11" customFormat="1" ht="31.5">
      <c r="A300" s="38" t="s">
        <v>58</v>
      </c>
      <c r="B300" s="39" t="s">
        <v>278</v>
      </c>
      <c r="C300" s="39" t="s">
        <v>252</v>
      </c>
      <c r="D300" s="39" t="s">
        <v>258</v>
      </c>
      <c r="E300" s="39"/>
      <c r="F300" s="56">
        <f>F301</f>
        <v>231000</v>
      </c>
      <c r="G300" s="56">
        <v>0</v>
      </c>
      <c r="H300" s="56">
        <f>H301</f>
        <v>231000</v>
      </c>
      <c r="I300" s="56">
        <v>0</v>
      </c>
    </row>
    <row r="301" spans="1:9" s="11" customFormat="1" ht="31.5">
      <c r="A301" s="38" t="s">
        <v>114</v>
      </c>
      <c r="B301" s="39" t="s">
        <v>278</v>
      </c>
      <c r="C301" s="39" t="s">
        <v>252</v>
      </c>
      <c r="D301" s="39" t="s">
        <v>258</v>
      </c>
      <c r="E301" s="39" t="s">
        <v>62</v>
      </c>
      <c r="F301" s="56">
        <v>231000</v>
      </c>
      <c r="G301" s="56">
        <v>0</v>
      </c>
      <c r="H301" s="56">
        <v>231000</v>
      </c>
      <c r="I301" s="56">
        <v>0</v>
      </c>
    </row>
    <row r="302" spans="1:9" ht="47.25">
      <c r="A302" s="38" t="s">
        <v>251</v>
      </c>
      <c r="B302" s="39" t="s">
        <v>279</v>
      </c>
      <c r="C302" s="39" t="s">
        <v>252</v>
      </c>
      <c r="D302" s="39"/>
      <c r="E302" s="39"/>
      <c r="F302" s="56">
        <f>F303</f>
        <v>115000</v>
      </c>
      <c r="G302" s="56">
        <v>0</v>
      </c>
      <c r="H302" s="56">
        <f>H303</f>
        <v>215000</v>
      </c>
      <c r="I302" s="56">
        <v>0</v>
      </c>
    </row>
    <row r="303" spans="1:9" ht="31.5">
      <c r="A303" s="38" t="s">
        <v>58</v>
      </c>
      <c r="B303" s="39" t="s">
        <v>279</v>
      </c>
      <c r="C303" s="39" t="s">
        <v>252</v>
      </c>
      <c r="D303" s="39" t="s">
        <v>258</v>
      </c>
      <c r="E303" s="39"/>
      <c r="F303" s="56">
        <f>F304</f>
        <v>115000</v>
      </c>
      <c r="G303" s="56">
        <v>0</v>
      </c>
      <c r="H303" s="56">
        <f>H304</f>
        <v>215000</v>
      </c>
      <c r="I303" s="56">
        <v>0</v>
      </c>
    </row>
    <row r="304" spans="1:9" ht="31.5">
      <c r="A304" s="38" t="s">
        <v>114</v>
      </c>
      <c r="B304" s="39" t="s">
        <v>279</v>
      </c>
      <c r="C304" s="39" t="s">
        <v>252</v>
      </c>
      <c r="D304" s="39" t="s">
        <v>258</v>
      </c>
      <c r="E304" s="39" t="s">
        <v>62</v>
      </c>
      <c r="F304" s="56">
        <v>115000</v>
      </c>
      <c r="G304" s="56">
        <v>0</v>
      </c>
      <c r="H304" s="56">
        <v>215000</v>
      </c>
      <c r="I304" s="56">
        <v>0</v>
      </c>
    </row>
    <row r="305" spans="1:9" ht="31.5">
      <c r="A305" s="19" t="s">
        <v>212</v>
      </c>
      <c r="B305" s="18" t="s">
        <v>211</v>
      </c>
      <c r="C305" s="18"/>
      <c r="D305" s="18"/>
      <c r="E305" s="18"/>
      <c r="F305" s="59">
        <f>F306</f>
        <v>60000</v>
      </c>
      <c r="G305" s="59">
        <v>0</v>
      </c>
      <c r="H305" s="59">
        <f>H306</f>
        <v>60000</v>
      </c>
      <c r="I305" s="59">
        <v>0</v>
      </c>
    </row>
    <row r="306" spans="1:9" ht="31.5">
      <c r="A306" s="19" t="s">
        <v>213</v>
      </c>
      <c r="B306" s="18" t="s">
        <v>214</v>
      </c>
      <c r="C306" s="18"/>
      <c r="D306" s="18"/>
      <c r="E306" s="18"/>
      <c r="F306" s="59">
        <f>F307</f>
        <v>60000</v>
      </c>
      <c r="G306" s="59">
        <v>0</v>
      </c>
      <c r="H306" s="59">
        <f>H307</f>
        <v>60000</v>
      </c>
      <c r="I306" s="59">
        <v>0</v>
      </c>
    </row>
    <row r="307" spans="1:9" ht="31.5">
      <c r="A307" s="38" t="s">
        <v>216</v>
      </c>
      <c r="B307" s="39" t="s">
        <v>215</v>
      </c>
      <c r="C307" s="39"/>
      <c r="D307" s="39"/>
      <c r="E307" s="39"/>
      <c r="F307" s="56">
        <f>F308+F311</f>
        <v>60000</v>
      </c>
      <c r="G307" s="56">
        <v>0</v>
      </c>
      <c r="H307" s="56">
        <f>H308+H311</f>
        <v>60000</v>
      </c>
      <c r="I307" s="56">
        <v>0</v>
      </c>
    </row>
    <row r="308" spans="1:9" ht="31.5">
      <c r="A308" s="22" t="s">
        <v>260</v>
      </c>
      <c r="B308" s="39" t="s">
        <v>215</v>
      </c>
      <c r="C308" s="39" t="s">
        <v>261</v>
      </c>
      <c r="D308" s="39"/>
      <c r="E308" s="39"/>
      <c r="F308" s="56">
        <f>F309</f>
        <v>30000</v>
      </c>
      <c r="G308" s="56">
        <v>0</v>
      </c>
      <c r="H308" s="56">
        <f>H309</f>
        <v>30000</v>
      </c>
      <c r="I308" s="56">
        <v>0</v>
      </c>
    </row>
    <row r="309" spans="1:9" s="11" customFormat="1" ht="15.75">
      <c r="A309" s="38" t="s">
        <v>117</v>
      </c>
      <c r="B309" s="39" t="s">
        <v>215</v>
      </c>
      <c r="C309" s="39" t="s">
        <v>261</v>
      </c>
      <c r="D309" s="39" t="s">
        <v>270</v>
      </c>
      <c r="E309" s="39"/>
      <c r="F309" s="56">
        <f>F310</f>
        <v>30000</v>
      </c>
      <c r="G309" s="56">
        <v>0</v>
      </c>
      <c r="H309" s="56">
        <f>H310</f>
        <v>30000</v>
      </c>
      <c r="I309" s="56">
        <v>0</v>
      </c>
    </row>
    <row r="310" spans="1:9" s="11" customFormat="1" ht="31.5">
      <c r="A310" s="38" t="s">
        <v>118</v>
      </c>
      <c r="B310" s="39" t="s">
        <v>215</v>
      </c>
      <c r="C310" s="39" t="s">
        <v>261</v>
      </c>
      <c r="D310" s="39" t="s">
        <v>270</v>
      </c>
      <c r="E310" s="39" t="s">
        <v>275</v>
      </c>
      <c r="F310" s="56">
        <v>30000</v>
      </c>
      <c r="G310" s="56">
        <v>0</v>
      </c>
      <c r="H310" s="56">
        <f>20000+10000</f>
        <v>30000</v>
      </c>
      <c r="I310" s="56">
        <v>0</v>
      </c>
    </row>
    <row r="311" spans="1:9" ht="47.25">
      <c r="A311" s="38" t="s">
        <v>251</v>
      </c>
      <c r="B311" s="39" t="s">
        <v>215</v>
      </c>
      <c r="C311" s="39" t="s">
        <v>252</v>
      </c>
      <c r="D311" s="39"/>
      <c r="E311" s="39"/>
      <c r="F311" s="56">
        <f>F312</f>
        <v>30000</v>
      </c>
      <c r="G311" s="56">
        <v>0</v>
      </c>
      <c r="H311" s="56">
        <f>H312</f>
        <v>30000</v>
      </c>
      <c r="I311" s="56">
        <v>0</v>
      </c>
    </row>
    <row r="312" spans="1:9" ht="39" customHeight="1">
      <c r="A312" s="38" t="s">
        <v>117</v>
      </c>
      <c r="B312" s="39" t="s">
        <v>215</v>
      </c>
      <c r="C312" s="39" t="s">
        <v>252</v>
      </c>
      <c r="D312" s="39" t="s">
        <v>270</v>
      </c>
      <c r="E312" s="39"/>
      <c r="F312" s="56">
        <f>F313</f>
        <v>30000</v>
      </c>
      <c r="G312" s="56">
        <v>0</v>
      </c>
      <c r="H312" s="56">
        <f>H313</f>
        <v>30000</v>
      </c>
      <c r="I312" s="56">
        <v>0</v>
      </c>
    </row>
    <row r="313" spans="1:9" ht="31.5">
      <c r="A313" s="38" t="s">
        <v>118</v>
      </c>
      <c r="B313" s="39" t="s">
        <v>215</v>
      </c>
      <c r="C313" s="39" t="s">
        <v>252</v>
      </c>
      <c r="D313" s="39" t="s">
        <v>270</v>
      </c>
      <c r="E313" s="39" t="s">
        <v>275</v>
      </c>
      <c r="F313" s="56">
        <v>30000</v>
      </c>
      <c r="G313" s="56">
        <v>0</v>
      </c>
      <c r="H313" s="56">
        <v>30000</v>
      </c>
      <c r="I313" s="56">
        <v>0</v>
      </c>
    </row>
    <row r="314" spans="1:9" ht="31.5">
      <c r="A314" s="19" t="s">
        <v>218</v>
      </c>
      <c r="B314" s="18" t="s">
        <v>217</v>
      </c>
      <c r="C314" s="18"/>
      <c r="D314" s="18"/>
      <c r="E314" s="18"/>
      <c r="F314" s="59">
        <f>F315+F320</f>
        <v>9910200</v>
      </c>
      <c r="G314" s="59">
        <v>0</v>
      </c>
      <c r="H314" s="59">
        <f>H315+H320</f>
        <v>10205100</v>
      </c>
      <c r="I314" s="59">
        <v>0</v>
      </c>
    </row>
    <row r="315" spans="1:9" ht="31.5">
      <c r="A315" s="19" t="s">
        <v>219</v>
      </c>
      <c r="B315" s="18" t="s">
        <v>220</v>
      </c>
      <c r="C315" s="18"/>
      <c r="D315" s="18"/>
      <c r="E315" s="18"/>
      <c r="F315" s="59">
        <f>F316</f>
        <v>9434580</v>
      </c>
      <c r="G315" s="59">
        <v>0</v>
      </c>
      <c r="H315" s="59">
        <f>H316</f>
        <v>9729480</v>
      </c>
      <c r="I315" s="59">
        <v>0</v>
      </c>
    </row>
    <row r="316" spans="1:9" ht="47.25">
      <c r="A316" s="38" t="s">
        <v>185</v>
      </c>
      <c r="B316" s="39" t="s">
        <v>222</v>
      </c>
      <c r="C316" s="39"/>
      <c r="D316" s="39"/>
      <c r="E316" s="39"/>
      <c r="F316" s="56">
        <f>F317</f>
        <v>9434580</v>
      </c>
      <c r="G316" s="56">
        <v>0</v>
      </c>
      <c r="H316" s="56">
        <f>H317</f>
        <v>9729480</v>
      </c>
      <c r="I316" s="56">
        <v>0</v>
      </c>
    </row>
    <row r="317" spans="1:9" ht="47.25">
      <c r="A317" s="38" t="s">
        <v>251</v>
      </c>
      <c r="B317" s="39" t="s">
        <v>222</v>
      </c>
      <c r="C317" s="39" t="s">
        <v>252</v>
      </c>
      <c r="D317" s="39"/>
      <c r="E317" s="39"/>
      <c r="F317" s="56">
        <f>F318</f>
        <v>9434580</v>
      </c>
      <c r="G317" s="56">
        <v>0</v>
      </c>
      <c r="H317" s="56">
        <f>H318</f>
        <v>9729480</v>
      </c>
      <c r="I317" s="56">
        <v>0</v>
      </c>
    </row>
    <row r="318" spans="1:9" ht="15.75">
      <c r="A318" s="38" t="s">
        <v>57</v>
      </c>
      <c r="B318" s="39" t="s">
        <v>222</v>
      </c>
      <c r="C318" s="39" t="s">
        <v>252</v>
      </c>
      <c r="D318" s="39" t="s">
        <v>269</v>
      </c>
      <c r="E318" s="39"/>
      <c r="F318" s="56">
        <f>F319</f>
        <v>9434580</v>
      </c>
      <c r="G318" s="56">
        <v>0</v>
      </c>
      <c r="H318" s="56">
        <f>H319</f>
        <v>9729480</v>
      </c>
      <c r="I318" s="56">
        <v>0</v>
      </c>
    </row>
    <row r="319" spans="1:9" s="11" customFormat="1" ht="15.75">
      <c r="A319" s="38" t="s">
        <v>112</v>
      </c>
      <c r="B319" s="39" t="s">
        <v>222</v>
      </c>
      <c r="C319" s="39" t="s">
        <v>252</v>
      </c>
      <c r="D319" s="39" t="s">
        <v>269</v>
      </c>
      <c r="E319" s="39" t="s">
        <v>256</v>
      </c>
      <c r="F319" s="56">
        <v>9434580</v>
      </c>
      <c r="G319" s="56">
        <v>0</v>
      </c>
      <c r="H319" s="56">
        <v>9729480</v>
      </c>
      <c r="I319" s="56">
        <v>0</v>
      </c>
    </row>
    <row r="320" spans="1:9" ht="47.25">
      <c r="A320" s="19" t="s">
        <v>223</v>
      </c>
      <c r="B320" s="18" t="s">
        <v>224</v>
      </c>
      <c r="C320" s="18"/>
      <c r="D320" s="18"/>
      <c r="E320" s="18"/>
      <c r="F320" s="59">
        <f>F321+F325</f>
        <v>475620</v>
      </c>
      <c r="G320" s="59">
        <v>0</v>
      </c>
      <c r="H320" s="59">
        <f>H321+H325</f>
        <v>475620</v>
      </c>
      <c r="I320" s="56">
        <v>0</v>
      </c>
    </row>
    <row r="321" spans="1:9" ht="15.75">
      <c r="A321" s="38" t="s">
        <v>221</v>
      </c>
      <c r="B321" s="39" t="s">
        <v>225</v>
      </c>
      <c r="C321" s="39"/>
      <c r="D321" s="39"/>
      <c r="E321" s="39"/>
      <c r="F321" s="56">
        <f>F322</f>
        <v>275620</v>
      </c>
      <c r="G321" s="56">
        <v>0</v>
      </c>
      <c r="H321" s="56">
        <f>H322</f>
        <v>275620</v>
      </c>
      <c r="I321" s="56">
        <v>0</v>
      </c>
    </row>
    <row r="322" spans="1:9" ht="47.25">
      <c r="A322" s="38" t="s">
        <v>251</v>
      </c>
      <c r="B322" s="39" t="s">
        <v>225</v>
      </c>
      <c r="C322" s="39" t="s">
        <v>252</v>
      </c>
      <c r="D322" s="39"/>
      <c r="E322" s="39"/>
      <c r="F322" s="56">
        <f>F323</f>
        <v>275620</v>
      </c>
      <c r="G322" s="56">
        <v>0</v>
      </c>
      <c r="H322" s="56">
        <f>H323</f>
        <v>275620</v>
      </c>
      <c r="I322" s="56">
        <v>0</v>
      </c>
    </row>
    <row r="323" spans="1:9" s="11" customFormat="1" ht="15.75">
      <c r="A323" s="38" t="s">
        <v>57</v>
      </c>
      <c r="B323" s="39" t="s">
        <v>225</v>
      </c>
      <c r="C323" s="39" t="s">
        <v>252</v>
      </c>
      <c r="D323" s="39" t="s">
        <v>269</v>
      </c>
      <c r="E323" s="39"/>
      <c r="F323" s="56">
        <f>F324</f>
        <v>275620</v>
      </c>
      <c r="G323" s="56">
        <v>0</v>
      </c>
      <c r="H323" s="56">
        <f>H324</f>
        <v>275620</v>
      </c>
      <c r="I323" s="56">
        <v>0</v>
      </c>
    </row>
    <row r="324" spans="1:9" s="11" customFormat="1" ht="15.75">
      <c r="A324" s="38" t="s">
        <v>112</v>
      </c>
      <c r="B324" s="39" t="s">
        <v>225</v>
      </c>
      <c r="C324" s="39" t="s">
        <v>252</v>
      </c>
      <c r="D324" s="39" t="s">
        <v>269</v>
      </c>
      <c r="E324" s="39" t="s">
        <v>256</v>
      </c>
      <c r="F324" s="56">
        <v>275620</v>
      </c>
      <c r="G324" s="56">
        <v>0</v>
      </c>
      <c r="H324" s="56">
        <v>275620</v>
      </c>
      <c r="I324" s="56">
        <v>0</v>
      </c>
    </row>
    <row r="325" spans="1:9" s="26" customFormat="1" ht="31.5">
      <c r="A325" s="50" t="s">
        <v>162</v>
      </c>
      <c r="B325" s="32" t="s">
        <v>315</v>
      </c>
      <c r="C325" s="31"/>
      <c r="D325" s="31"/>
      <c r="E325" s="31"/>
      <c r="F325" s="44">
        <f aca="true" t="shared" si="29" ref="F325:H327">F326</f>
        <v>200000</v>
      </c>
      <c r="G325" s="56">
        <v>0</v>
      </c>
      <c r="H325" s="44">
        <f t="shared" si="29"/>
        <v>200000</v>
      </c>
      <c r="I325" s="56">
        <v>0</v>
      </c>
    </row>
    <row r="326" spans="1:9" ht="47.25">
      <c r="A326" s="22" t="s">
        <v>251</v>
      </c>
      <c r="B326" s="23" t="s">
        <v>315</v>
      </c>
      <c r="C326" s="32" t="s">
        <v>252</v>
      </c>
      <c r="D326" s="31"/>
      <c r="E326" s="31"/>
      <c r="F326" s="44">
        <f t="shared" si="29"/>
        <v>200000</v>
      </c>
      <c r="G326" s="56">
        <v>0</v>
      </c>
      <c r="H326" s="44">
        <f t="shared" si="29"/>
        <v>200000</v>
      </c>
      <c r="I326" s="56">
        <v>0</v>
      </c>
    </row>
    <row r="327" spans="1:9" ht="15.75">
      <c r="A327" s="22" t="s">
        <v>59</v>
      </c>
      <c r="B327" s="23" t="s">
        <v>315</v>
      </c>
      <c r="C327" s="32" t="s">
        <v>252</v>
      </c>
      <c r="D327" s="32" t="s">
        <v>275</v>
      </c>
      <c r="E327" s="31"/>
      <c r="F327" s="44">
        <f t="shared" si="29"/>
        <v>200000</v>
      </c>
      <c r="G327" s="56">
        <v>0</v>
      </c>
      <c r="H327" s="44">
        <f t="shared" si="29"/>
        <v>200000</v>
      </c>
      <c r="I327" s="56">
        <v>0</v>
      </c>
    </row>
    <row r="328" spans="1:9" ht="31.5">
      <c r="A328" s="22" t="s">
        <v>60</v>
      </c>
      <c r="B328" s="23" t="s">
        <v>315</v>
      </c>
      <c r="C328" s="32" t="s">
        <v>252</v>
      </c>
      <c r="D328" s="32" t="s">
        <v>275</v>
      </c>
      <c r="E328" s="32" t="s">
        <v>275</v>
      </c>
      <c r="F328" s="44">
        <v>200000</v>
      </c>
      <c r="G328" s="56">
        <v>0</v>
      </c>
      <c r="H328" s="44">
        <v>200000</v>
      </c>
      <c r="I328" s="56">
        <v>0</v>
      </c>
    </row>
    <row r="329" spans="1:9" ht="47.25">
      <c r="A329" s="19" t="s">
        <v>227</v>
      </c>
      <c r="B329" s="18" t="s">
        <v>226</v>
      </c>
      <c r="C329" s="18"/>
      <c r="D329" s="18"/>
      <c r="E329" s="18"/>
      <c r="F329" s="59">
        <f>F330+F335</f>
        <v>1254400</v>
      </c>
      <c r="G329" s="59">
        <v>0</v>
      </c>
      <c r="H329" s="59">
        <f>H330+H335</f>
        <v>1254400</v>
      </c>
      <c r="I329" s="59">
        <v>0</v>
      </c>
    </row>
    <row r="330" spans="1:9" s="11" customFormat="1" ht="47.25">
      <c r="A330" s="19" t="s">
        <v>228</v>
      </c>
      <c r="B330" s="18" t="s">
        <v>229</v>
      </c>
      <c r="C330" s="18"/>
      <c r="D330" s="18"/>
      <c r="E330" s="18"/>
      <c r="F330" s="59">
        <f>F331</f>
        <v>865500</v>
      </c>
      <c r="G330" s="59">
        <v>0</v>
      </c>
      <c r="H330" s="59">
        <f>H331</f>
        <v>865500</v>
      </c>
      <c r="I330" s="59">
        <v>0</v>
      </c>
    </row>
    <row r="331" spans="1:9" ht="31.5">
      <c r="A331" s="38" t="s">
        <v>231</v>
      </c>
      <c r="B331" s="39" t="s">
        <v>230</v>
      </c>
      <c r="C331" s="39"/>
      <c r="D331" s="39"/>
      <c r="E331" s="39"/>
      <c r="F331" s="56">
        <f>F332</f>
        <v>865500</v>
      </c>
      <c r="G331" s="56">
        <v>0</v>
      </c>
      <c r="H331" s="56">
        <f>H332</f>
        <v>865500</v>
      </c>
      <c r="I331" s="56">
        <v>0</v>
      </c>
    </row>
    <row r="332" spans="1:9" ht="47.25">
      <c r="A332" s="38" t="s">
        <v>251</v>
      </c>
      <c r="B332" s="39" t="s">
        <v>230</v>
      </c>
      <c r="C332" s="39" t="s">
        <v>252</v>
      </c>
      <c r="D332" s="39"/>
      <c r="E332" s="39"/>
      <c r="F332" s="56">
        <f>F333</f>
        <v>865500</v>
      </c>
      <c r="G332" s="56">
        <v>0</v>
      </c>
      <c r="H332" s="56">
        <f>H333</f>
        <v>865500</v>
      </c>
      <c r="I332" s="56">
        <v>0</v>
      </c>
    </row>
    <row r="333" spans="1:9" ht="15.75">
      <c r="A333" s="38" t="s">
        <v>59</v>
      </c>
      <c r="B333" s="39" t="s">
        <v>230</v>
      </c>
      <c r="C333" s="39" t="s">
        <v>252</v>
      </c>
      <c r="D333" s="39" t="s">
        <v>275</v>
      </c>
      <c r="E333" s="39"/>
      <c r="F333" s="56">
        <f>F334</f>
        <v>865500</v>
      </c>
      <c r="G333" s="56">
        <v>0</v>
      </c>
      <c r="H333" s="56">
        <f>H334</f>
        <v>865500</v>
      </c>
      <c r="I333" s="56">
        <v>0</v>
      </c>
    </row>
    <row r="334" spans="1:9" ht="31.5">
      <c r="A334" s="38" t="s">
        <v>60</v>
      </c>
      <c r="B334" s="39" t="s">
        <v>230</v>
      </c>
      <c r="C334" s="39" t="s">
        <v>252</v>
      </c>
      <c r="D334" s="39" t="s">
        <v>275</v>
      </c>
      <c r="E334" s="39" t="s">
        <v>275</v>
      </c>
      <c r="F334" s="56">
        <v>865500</v>
      </c>
      <c r="G334" s="56">
        <v>0</v>
      </c>
      <c r="H334" s="56">
        <v>865500</v>
      </c>
      <c r="I334" s="56">
        <v>0</v>
      </c>
    </row>
    <row r="335" spans="1:9" s="11" customFormat="1" ht="47.25">
      <c r="A335" s="19" t="s">
        <v>233</v>
      </c>
      <c r="B335" s="18" t="s">
        <v>232</v>
      </c>
      <c r="C335" s="18"/>
      <c r="D335" s="18"/>
      <c r="E335" s="18"/>
      <c r="F335" s="59">
        <f>F336</f>
        <v>388900</v>
      </c>
      <c r="G335" s="59">
        <v>0</v>
      </c>
      <c r="H335" s="59">
        <f>H336</f>
        <v>388900</v>
      </c>
      <c r="I335" s="56">
        <v>0</v>
      </c>
    </row>
    <row r="336" spans="1:9" s="11" customFormat="1" ht="31.5">
      <c r="A336" s="38" t="s">
        <v>231</v>
      </c>
      <c r="B336" s="39" t="s">
        <v>234</v>
      </c>
      <c r="C336" s="39"/>
      <c r="D336" s="39"/>
      <c r="E336" s="39"/>
      <c r="F336" s="56">
        <f>F337</f>
        <v>388900</v>
      </c>
      <c r="G336" s="56">
        <v>0</v>
      </c>
      <c r="H336" s="56">
        <f>H337</f>
        <v>388900</v>
      </c>
      <c r="I336" s="56">
        <v>0</v>
      </c>
    </row>
    <row r="337" spans="1:9" ht="47.25">
      <c r="A337" s="38" t="s">
        <v>251</v>
      </c>
      <c r="B337" s="39" t="s">
        <v>234</v>
      </c>
      <c r="C337" s="39" t="s">
        <v>252</v>
      </c>
      <c r="D337" s="39"/>
      <c r="E337" s="39"/>
      <c r="F337" s="56">
        <f>F338</f>
        <v>388900</v>
      </c>
      <c r="G337" s="56">
        <v>0</v>
      </c>
      <c r="H337" s="56">
        <f>H338</f>
        <v>388900</v>
      </c>
      <c r="I337" s="56">
        <v>0</v>
      </c>
    </row>
    <row r="338" spans="1:9" ht="15.75">
      <c r="A338" s="38" t="s">
        <v>59</v>
      </c>
      <c r="B338" s="39" t="s">
        <v>234</v>
      </c>
      <c r="C338" s="39" t="s">
        <v>252</v>
      </c>
      <c r="D338" s="39" t="s">
        <v>275</v>
      </c>
      <c r="E338" s="39"/>
      <c r="F338" s="56">
        <f>F339</f>
        <v>388900</v>
      </c>
      <c r="G338" s="56">
        <v>0</v>
      </c>
      <c r="H338" s="56">
        <f>H339</f>
        <v>388900</v>
      </c>
      <c r="I338" s="56">
        <v>0</v>
      </c>
    </row>
    <row r="339" spans="1:9" ht="15.75">
      <c r="A339" s="38" t="s">
        <v>61</v>
      </c>
      <c r="B339" s="39" t="s">
        <v>234</v>
      </c>
      <c r="C339" s="39" t="s">
        <v>252</v>
      </c>
      <c r="D339" s="39" t="s">
        <v>275</v>
      </c>
      <c r="E339" s="39" t="s">
        <v>257</v>
      </c>
      <c r="F339" s="56">
        <v>388900</v>
      </c>
      <c r="G339" s="56">
        <v>0</v>
      </c>
      <c r="H339" s="56">
        <v>388900</v>
      </c>
      <c r="I339" s="56">
        <v>0</v>
      </c>
    </row>
    <row r="340" spans="1:9" ht="31.5">
      <c r="A340" s="19" t="s">
        <v>66</v>
      </c>
      <c r="B340" s="18" t="s">
        <v>64</v>
      </c>
      <c r="C340" s="18"/>
      <c r="D340" s="18"/>
      <c r="E340" s="18"/>
      <c r="F340" s="59">
        <f>F341</f>
        <v>48300</v>
      </c>
      <c r="G340" s="59">
        <f>G341</f>
        <v>3300</v>
      </c>
      <c r="H340" s="59">
        <f>H341</f>
        <v>48300</v>
      </c>
      <c r="I340" s="59">
        <f>I341</f>
        <v>3300</v>
      </c>
    </row>
    <row r="341" spans="1:9" ht="31.5">
      <c r="A341" s="19" t="s">
        <v>67</v>
      </c>
      <c r="B341" s="18" t="s">
        <v>65</v>
      </c>
      <c r="C341" s="18"/>
      <c r="D341" s="18"/>
      <c r="E341" s="18"/>
      <c r="F341" s="59">
        <f>F342+F346+F350</f>
        <v>48300</v>
      </c>
      <c r="G341" s="59">
        <f>G342+G346+G350</f>
        <v>3300</v>
      </c>
      <c r="H341" s="59">
        <f>H342+H346+H350</f>
        <v>48300</v>
      </c>
      <c r="I341" s="59">
        <f>I342+I346+I350</f>
        <v>3300</v>
      </c>
    </row>
    <row r="342" spans="1:9" ht="47.25">
      <c r="A342" s="38" t="s">
        <v>168</v>
      </c>
      <c r="B342" s="39" t="s">
        <v>68</v>
      </c>
      <c r="C342" s="39"/>
      <c r="D342" s="39"/>
      <c r="E342" s="39"/>
      <c r="F342" s="56">
        <f>F343</f>
        <v>5000</v>
      </c>
      <c r="G342" s="56">
        <v>0</v>
      </c>
      <c r="H342" s="56">
        <f>H343</f>
        <v>5000</v>
      </c>
      <c r="I342" s="56">
        <v>0</v>
      </c>
    </row>
    <row r="343" spans="1:9" ht="31.5">
      <c r="A343" s="22" t="s">
        <v>260</v>
      </c>
      <c r="B343" s="39" t="s">
        <v>68</v>
      </c>
      <c r="C343" s="39" t="s">
        <v>261</v>
      </c>
      <c r="D343" s="39"/>
      <c r="E343" s="39"/>
      <c r="F343" s="56">
        <f>F344</f>
        <v>5000</v>
      </c>
      <c r="G343" s="56">
        <v>0</v>
      </c>
      <c r="H343" s="56">
        <f>H344</f>
        <v>5000</v>
      </c>
      <c r="I343" s="56">
        <v>0</v>
      </c>
    </row>
    <row r="344" spans="1:9" ht="15.75">
      <c r="A344" s="38" t="s">
        <v>57</v>
      </c>
      <c r="B344" s="39" t="s">
        <v>68</v>
      </c>
      <c r="C344" s="39" t="s">
        <v>261</v>
      </c>
      <c r="D344" s="39" t="s">
        <v>269</v>
      </c>
      <c r="E344" s="39"/>
      <c r="F344" s="56">
        <f>F345</f>
        <v>5000</v>
      </c>
      <c r="G344" s="56">
        <v>0</v>
      </c>
      <c r="H344" s="56">
        <f>H345</f>
        <v>5000</v>
      </c>
      <c r="I344" s="56">
        <v>0</v>
      </c>
    </row>
    <row r="345" spans="1:9" ht="31.5">
      <c r="A345" s="38" t="s">
        <v>110</v>
      </c>
      <c r="B345" s="39" t="s">
        <v>68</v>
      </c>
      <c r="C345" s="39" t="s">
        <v>261</v>
      </c>
      <c r="D345" s="39" t="s">
        <v>269</v>
      </c>
      <c r="E345" s="39" t="s">
        <v>111</v>
      </c>
      <c r="F345" s="56">
        <v>5000</v>
      </c>
      <c r="G345" s="56">
        <v>0</v>
      </c>
      <c r="H345" s="56">
        <v>5000</v>
      </c>
      <c r="I345" s="56">
        <v>0</v>
      </c>
    </row>
    <row r="346" spans="1:9" ht="31.5">
      <c r="A346" s="38" t="s">
        <v>162</v>
      </c>
      <c r="B346" s="39" t="s">
        <v>69</v>
      </c>
      <c r="C346" s="39"/>
      <c r="D346" s="39"/>
      <c r="E346" s="39"/>
      <c r="F346" s="56">
        <f>F347</f>
        <v>40000</v>
      </c>
      <c r="G346" s="56">
        <v>0</v>
      </c>
      <c r="H346" s="56">
        <f>H347</f>
        <v>40000</v>
      </c>
      <c r="I346" s="56">
        <v>0</v>
      </c>
    </row>
    <row r="347" spans="1:9" ht="31.5">
      <c r="A347" s="22" t="s">
        <v>260</v>
      </c>
      <c r="B347" s="39" t="s">
        <v>69</v>
      </c>
      <c r="C347" s="39" t="s">
        <v>261</v>
      </c>
      <c r="D347" s="39"/>
      <c r="E347" s="39"/>
      <c r="F347" s="56">
        <f>F348</f>
        <v>40000</v>
      </c>
      <c r="G347" s="56">
        <v>0</v>
      </c>
      <c r="H347" s="56">
        <f>H348</f>
        <v>40000</v>
      </c>
      <c r="I347" s="56">
        <v>0</v>
      </c>
    </row>
    <row r="348" spans="1:9" ht="15.75">
      <c r="A348" s="38" t="s">
        <v>57</v>
      </c>
      <c r="B348" s="39" t="s">
        <v>69</v>
      </c>
      <c r="C348" s="39" t="s">
        <v>261</v>
      </c>
      <c r="D348" s="39" t="s">
        <v>269</v>
      </c>
      <c r="E348" s="39"/>
      <c r="F348" s="56">
        <f>F349</f>
        <v>40000</v>
      </c>
      <c r="G348" s="56">
        <v>0</v>
      </c>
      <c r="H348" s="56">
        <f>H349</f>
        <v>40000</v>
      </c>
      <c r="I348" s="56">
        <v>0</v>
      </c>
    </row>
    <row r="349" spans="1:9" s="11" customFormat="1" ht="31.5">
      <c r="A349" s="38" t="s">
        <v>110</v>
      </c>
      <c r="B349" s="39" t="s">
        <v>69</v>
      </c>
      <c r="C349" s="39" t="s">
        <v>261</v>
      </c>
      <c r="D349" s="39" t="s">
        <v>269</v>
      </c>
      <c r="E349" s="39" t="s">
        <v>111</v>
      </c>
      <c r="F349" s="56">
        <v>40000</v>
      </c>
      <c r="G349" s="56">
        <v>0</v>
      </c>
      <c r="H349" s="56">
        <v>40000</v>
      </c>
      <c r="I349" s="56">
        <v>0</v>
      </c>
    </row>
    <row r="350" spans="1:9" s="11" customFormat="1" ht="94.5">
      <c r="A350" s="38" t="s">
        <v>120</v>
      </c>
      <c r="B350" s="39" t="s">
        <v>70</v>
      </c>
      <c r="C350" s="39"/>
      <c r="D350" s="39"/>
      <c r="E350" s="39"/>
      <c r="F350" s="56">
        <f aca="true" t="shared" si="30" ref="F350:I352">F351</f>
        <v>3300</v>
      </c>
      <c r="G350" s="56">
        <f t="shared" si="30"/>
        <v>3300</v>
      </c>
      <c r="H350" s="56">
        <f t="shared" si="30"/>
        <v>3300</v>
      </c>
      <c r="I350" s="56">
        <f t="shared" si="30"/>
        <v>3300</v>
      </c>
    </row>
    <row r="351" spans="1:9" ht="78.75">
      <c r="A351" s="38" t="s">
        <v>271</v>
      </c>
      <c r="B351" s="39" t="s">
        <v>70</v>
      </c>
      <c r="C351" s="39" t="s">
        <v>272</v>
      </c>
      <c r="D351" s="39"/>
      <c r="E351" s="39"/>
      <c r="F351" s="56">
        <f t="shared" si="30"/>
        <v>3300</v>
      </c>
      <c r="G351" s="56">
        <f t="shared" si="30"/>
        <v>3300</v>
      </c>
      <c r="H351" s="56">
        <f t="shared" si="30"/>
        <v>3300</v>
      </c>
      <c r="I351" s="56">
        <f t="shared" si="30"/>
        <v>3300</v>
      </c>
    </row>
    <row r="352" spans="1:9" ht="15.75">
      <c r="A352" s="38" t="s">
        <v>57</v>
      </c>
      <c r="B352" s="39" t="s">
        <v>70</v>
      </c>
      <c r="C352" s="39" t="s">
        <v>272</v>
      </c>
      <c r="D352" s="39" t="s">
        <v>269</v>
      </c>
      <c r="E352" s="39"/>
      <c r="F352" s="56">
        <f t="shared" si="30"/>
        <v>3300</v>
      </c>
      <c r="G352" s="56">
        <f t="shared" si="30"/>
        <v>3300</v>
      </c>
      <c r="H352" s="56">
        <f t="shared" si="30"/>
        <v>3300</v>
      </c>
      <c r="I352" s="56">
        <f t="shared" si="30"/>
        <v>3300</v>
      </c>
    </row>
    <row r="353" spans="1:9" ht="31.5">
      <c r="A353" s="38" t="s">
        <v>110</v>
      </c>
      <c r="B353" s="39" t="s">
        <v>70</v>
      </c>
      <c r="C353" s="39" t="s">
        <v>272</v>
      </c>
      <c r="D353" s="39" t="s">
        <v>269</v>
      </c>
      <c r="E353" s="39" t="s">
        <v>111</v>
      </c>
      <c r="F353" s="56">
        <v>3300</v>
      </c>
      <c r="G353" s="56">
        <v>3300</v>
      </c>
      <c r="H353" s="56">
        <v>3300</v>
      </c>
      <c r="I353" s="56">
        <v>3300</v>
      </c>
    </row>
    <row r="354" spans="1:9" ht="31.5">
      <c r="A354" s="19" t="s">
        <v>73</v>
      </c>
      <c r="B354" s="18" t="s">
        <v>71</v>
      </c>
      <c r="C354" s="18"/>
      <c r="D354" s="18"/>
      <c r="E354" s="18"/>
      <c r="F354" s="59">
        <f>F355+F364</f>
        <v>5029940</v>
      </c>
      <c r="G354" s="59">
        <f>G355+G364</f>
        <v>11400</v>
      </c>
      <c r="H354" s="59">
        <f>H355+H364</f>
        <v>5529940</v>
      </c>
      <c r="I354" s="59">
        <f>I355+I364</f>
        <v>11400</v>
      </c>
    </row>
    <row r="355" spans="1:9" ht="47.25">
      <c r="A355" s="19" t="s">
        <v>74</v>
      </c>
      <c r="B355" s="18" t="s">
        <v>72</v>
      </c>
      <c r="C355" s="18"/>
      <c r="D355" s="18"/>
      <c r="E355" s="57"/>
      <c r="F355" s="59">
        <f>F356+F360</f>
        <v>2971000</v>
      </c>
      <c r="G355" s="59">
        <v>0</v>
      </c>
      <c r="H355" s="59">
        <f>H356+H360</f>
        <v>3471000</v>
      </c>
      <c r="I355" s="59">
        <v>0</v>
      </c>
    </row>
    <row r="356" spans="1:9" ht="63">
      <c r="A356" s="38" t="s">
        <v>14</v>
      </c>
      <c r="B356" s="39" t="s">
        <v>75</v>
      </c>
      <c r="C356" s="39"/>
      <c r="D356" s="39"/>
      <c r="E356" s="58"/>
      <c r="F356" s="56">
        <f>F357</f>
        <v>2967000</v>
      </c>
      <c r="G356" s="56">
        <v>0</v>
      </c>
      <c r="H356" s="56">
        <f>H357</f>
        <v>3467000</v>
      </c>
      <c r="I356" s="56">
        <v>0</v>
      </c>
    </row>
    <row r="357" spans="1:9" ht="47.25">
      <c r="A357" s="38" t="s">
        <v>251</v>
      </c>
      <c r="B357" s="39" t="s">
        <v>75</v>
      </c>
      <c r="C357" s="39" t="s">
        <v>252</v>
      </c>
      <c r="D357" s="39"/>
      <c r="E357" s="58"/>
      <c r="F357" s="56">
        <f>F358</f>
        <v>2967000</v>
      </c>
      <c r="G357" s="56">
        <v>0</v>
      </c>
      <c r="H357" s="56">
        <f>H358</f>
        <v>3467000</v>
      </c>
      <c r="I357" s="56">
        <v>0</v>
      </c>
    </row>
    <row r="358" spans="1:9" ht="15.75">
      <c r="A358" s="38" t="s">
        <v>121</v>
      </c>
      <c r="B358" s="39" t="s">
        <v>75</v>
      </c>
      <c r="C358" s="39" t="s">
        <v>252</v>
      </c>
      <c r="D358" s="39" t="s">
        <v>111</v>
      </c>
      <c r="E358" s="58"/>
      <c r="F358" s="56">
        <f>F359</f>
        <v>2967000</v>
      </c>
      <c r="G358" s="56">
        <v>0</v>
      </c>
      <c r="H358" s="56">
        <f>H359</f>
        <v>3467000</v>
      </c>
      <c r="I358" s="56">
        <v>0</v>
      </c>
    </row>
    <row r="359" spans="1:9" s="11" customFormat="1" ht="15.75">
      <c r="A359" s="38" t="s">
        <v>122</v>
      </c>
      <c r="B359" s="39" t="s">
        <v>75</v>
      </c>
      <c r="C359" s="39" t="s">
        <v>252</v>
      </c>
      <c r="D359" s="39" t="s">
        <v>111</v>
      </c>
      <c r="E359" s="58" t="s">
        <v>257</v>
      </c>
      <c r="F359" s="56">
        <f>2967000</f>
        <v>2967000</v>
      </c>
      <c r="G359" s="56">
        <v>0</v>
      </c>
      <c r="H359" s="56">
        <v>3467000</v>
      </c>
      <c r="I359" s="56">
        <v>0</v>
      </c>
    </row>
    <row r="360" spans="1:9" ht="47.25">
      <c r="A360" s="38" t="s">
        <v>168</v>
      </c>
      <c r="B360" s="39" t="s">
        <v>76</v>
      </c>
      <c r="C360" s="39"/>
      <c r="D360" s="39"/>
      <c r="E360" s="58"/>
      <c r="F360" s="56">
        <f>F361</f>
        <v>4000</v>
      </c>
      <c r="G360" s="56">
        <v>0</v>
      </c>
      <c r="H360" s="56">
        <f>H361</f>
        <v>4000</v>
      </c>
      <c r="I360" s="56">
        <v>0</v>
      </c>
    </row>
    <row r="361" spans="1:9" ht="47.25">
      <c r="A361" s="38" t="s">
        <v>251</v>
      </c>
      <c r="B361" s="39" t="s">
        <v>76</v>
      </c>
      <c r="C361" s="39" t="s">
        <v>252</v>
      </c>
      <c r="D361" s="39"/>
      <c r="E361" s="39"/>
      <c r="F361" s="56">
        <f>F362</f>
        <v>4000</v>
      </c>
      <c r="G361" s="56">
        <v>0</v>
      </c>
      <c r="H361" s="56">
        <f>H362</f>
        <v>4000</v>
      </c>
      <c r="I361" s="56">
        <v>0</v>
      </c>
    </row>
    <row r="362" spans="1:9" ht="15.75">
      <c r="A362" s="38" t="s">
        <v>121</v>
      </c>
      <c r="B362" s="39" t="s">
        <v>76</v>
      </c>
      <c r="C362" s="39" t="s">
        <v>252</v>
      </c>
      <c r="D362" s="39" t="s">
        <v>111</v>
      </c>
      <c r="E362" s="39"/>
      <c r="F362" s="56">
        <f>F363</f>
        <v>4000</v>
      </c>
      <c r="G362" s="56">
        <v>0</v>
      </c>
      <c r="H362" s="56">
        <f>H363</f>
        <v>4000</v>
      </c>
      <c r="I362" s="56">
        <v>0</v>
      </c>
    </row>
    <row r="363" spans="1:9" ht="15.75">
      <c r="A363" s="38" t="s">
        <v>122</v>
      </c>
      <c r="B363" s="39" t="s">
        <v>76</v>
      </c>
      <c r="C363" s="39" t="s">
        <v>252</v>
      </c>
      <c r="D363" s="39" t="s">
        <v>111</v>
      </c>
      <c r="E363" s="39" t="s">
        <v>257</v>
      </c>
      <c r="F363" s="56">
        <v>4000</v>
      </c>
      <c r="G363" s="56">
        <v>0</v>
      </c>
      <c r="H363" s="56">
        <v>4000</v>
      </c>
      <c r="I363" s="56">
        <v>0</v>
      </c>
    </row>
    <row r="364" spans="1:9" ht="31.5">
      <c r="A364" s="19" t="s">
        <v>78</v>
      </c>
      <c r="B364" s="18" t="s">
        <v>77</v>
      </c>
      <c r="C364" s="18"/>
      <c r="D364" s="18"/>
      <c r="E364" s="18"/>
      <c r="F364" s="59">
        <f>F365+F369</f>
        <v>2058940</v>
      </c>
      <c r="G364" s="59">
        <f>G365+G369</f>
        <v>11400</v>
      </c>
      <c r="H364" s="59">
        <f>H365+H369</f>
        <v>2058940</v>
      </c>
      <c r="I364" s="59">
        <f>I365+I369</f>
        <v>11400</v>
      </c>
    </row>
    <row r="365" spans="1:9" ht="47.25">
      <c r="A365" s="38" t="s">
        <v>56</v>
      </c>
      <c r="B365" s="39" t="s">
        <v>79</v>
      </c>
      <c r="C365" s="39"/>
      <c r="D365" s="39"/>
      <c r="E365" s="39"/>
      <c r="F365" s="56">
        <f>F366</f>
        <v>2047540</v>
      </c>
      <c r="G365" s="56">
        <v>0</v>
      </c>
      <c r="H365" s="56">
        <f>H366</f>
        <v>2047540</v>
      </c>
      <c r="I365" s="56">
        <v>0</v>
      </c>
    </row>
    <row r="366" spans="1:9" ht="31.5">
      <c r="A366" s="22" t="s">
        <v>260</v>
      </c>
      <c r="B366" s="39" t="s">
        <v>79</v>
      </c>
      <c r="C366" s="39" t="s">
        <v>261</v>
      </c>
      <c r="D366" s="39"/>
      <c r="E366" s="39"/>
      <c r="F366" s="56">
        <f>F367</f>
        <v>2047540</v>
      </c>
      <c r="G366" s="56">
        <v>0</v>
      </c>
      <c r="H366" s="56">
        <f>H367</f>
        <v>2047540</v>
      </c>
      <c r="I366" s="56">
        <v>0</v>
      </c>
    </row>
    <row r="367" spans="1:9" ht="15.75">
      <c r="A367" s="38" t="s">
        <v>53</v>
      </c>
      <c r="B367" s="39" t="s">
        <v>79</v>
      </c>
      <c r="C367" s="39" t="s">
        <v>261</v>
      </c>
      <c r="D367" s="39" t="s">
        <v>268</v>
      </c>
      <c r="E367" s="39"/>
      <c r="F367" s="56">
        <f>F368</f>
        <v>2047540</v>
      </c>
      <c r="G367" s="56">
        <v>0</v>
      </c>
      <c r="H367" s="56">
        <f>H368</f>
        <v>2047540</v>
      </c>
      <c r="I367" s="56">
        <v>0</v>
      </c>
    </row>
    <row r="368" spans="1:9" ht="15.75">
      <c r="A368" s="38" t="s">
        <v>54</v>
      </c>
      <c r="B368" s="39" t="s">
        <v>79</v>
      </c>
      <c r="C368" s="39" t="s">
        <v>261</v>
      </c>
      <c r="D368" s="39" t="s">
        <v>268</v>
      </c>
      <c r="E368" s="39" t="s">
        <v>55</v>
      </c>
      <c r="F368" s="56">
        <f>1454440+145000+144600+303500</f>
        <v>2047540</v>
      </c>
      <c r="G368" s="56">
        <v>0</v>
      </c>
      <c r="H368" s="56">
        <f>1454440+145000+144600+303500</f>
        <v>2047540</v>
      </c>
      <c r="I368" s="56">
        <v>0</v>
      </c>
    </row>
    <row r="369" spans="1:9" s="11" customFormat="1" ht="78.75">
      <c r="A369" s="38" t="s">
        <v>123</v>
      </c>
      <c r="B369" s="39" t="s">
        <v>80</v>
      </c>
      <c r="C369" s="39"/>
      <c r="D369" s="39"/>
      <c r="E369" s="39"/>
      <c r="F369" s="56">
        <f aca="true" t="shared" si="31" ref="F369:I371">F370</f>
        <v>11400</v>
      </c>
      <c r="G369" s="56">
        <f t="shared" si="31"/>
        <v>11400</v>
      </c>
      <c r="H369" s="56">
        <f t="shared" si="31"/>
        <v>11400</v>
      </c>
      <c r="I369" s="56">
        <f t="shared" si="31"/>
        <v>11400</v>
      </c>
    </row>
    <row r="370" spans="1:9" ht="31.5">
      <c r="A370" s="22" t="s">
        <v>260</v>
      </c>
      <c r="B370" s="39" t="s">
        <v>80</v>
      </c>
      <c r="C370" s="39" t="s">
        <v>261</v>
      </c>
      <c r="D370" s="39"/>
      <c r="E370" s="39"/>
      <c r="F370" s="56">
        <f t="shared" si="31"/>
        <v>11400</v>
      </c>
      <c r="G370" s="56">
        <f t="shared" si="31"/>
        <v>11400</v>
      </c>
      <c r="H370" s="56">
        <f t="shared" si="31"/>
        <v>11400</v>
      </c>
      <c r="I370" s="56">
        <f t="shared" si="31"/>
        <v>11400</v>
      </c>
    </row>
    <row r="371" spans="1:9" ht="15.75">
      <c r="A371" s="38" t="s">
        <v>57</v>
      </c>
      <c r="B371" s="39" t="s">
        <v>80</v>
      </c>
      <c r="C371" s="39" t="s">
        <v>261</v>
      </c>
      <c r="D371" s="39" t="s">
        <v>269</v>
      </c>
      <c r="E371" s="39"/>
      <c r="F371" s="56">
        <f t="shared" si="31"/>
        <v>11400</v>
      </c>
      <c r="G371" s="56">
        <f t="shared" si="31"/>
        <v>11400</v>
      </c>
      <c r="H371" s="56">
        <f t="shared" si="31"/>
        <v>11400</v>
      </c>
      <c r="I371" s="56">
        <f t="shared" si="31"/>
        <v>11400</v>
      </c>
    </row>
    <row r="372" spans="1:9" ht="15.75">
      <c r="A372" s="38" t="s">
        <v>119</v>
      </c>
      <c r="B372" s="39" t="s">
        <v>80</v>
      </c>
      <c r="C372" s="39" t="s">
        <v>261</v>
      </c>
      <c r="D372" s="39" t="s">
        <v>269</v>
      </c>
      <c r="E372" s="39" t="s">
        <v>265</v>
      </c>
      <c r="F372" s="56">
        <v>11400</v>
      </c>
      <c r="G372" s="56">
        <v>11400</v>
      </c>
      <c r="H372" s="56">
        <v>11400</v>
      </c>
      <c r="I372" s="56">
        <v>11400</v>
      </c>
    </row>
    <row r="373" spans="1:9" ht="78.75">
      <c r="A373" s="19" t="s">
        <v>81</v>
      </c>
      <c r="B373" s="18" t="s">
        <v>84</v>
      </c>
      <c r="C373" s="18"/>
      <c r="D373" s="18"/>
      <c r="E373" s="18"/>
      <c r="F373" s="59">
        <f>F374+F379</f>
        <v>8671152</v>
      </c>
      <c r="G373" s="59">
        <v>0</v>
      </c>
      <c r="H373" s="59">
        <f>H374+H379</f>
        <v>8656152</v>
      </c>
      <c r="I373" s="59">
        <v>0</v>
      </c>
    </row>
    <row r="374" spans="1:9" ht="31.5">
      <c r="A374" s="19" t="s">
        <v>82</v>
      </c>
      <c r="B374" s="18" t="s">
        <v>85</v>
      </c>
      <c r="C374" s="18"/>
      <c r="D374" s="18"/>
      <c r="E374" s="18"/>
      <c r="F374" s="59">
        <f>F375</f>
        <v>1285100</v>
      </c>
      <c r="G374" s="56">
        <v>0</v>
      </c>
      <c r="H374" s="59">
        <f>H375</f>
        <v>1285100</v>
      </c>
      <c r="I374" s="59">
        <v>0</v>
      </c>
    </row>
    <row r="375" spans="1:9" ht="31.5">
      <c r="A375" s="38" t="s">
        <v>162</v>
      </c>
      <c r="B375" s="39" t="s">
        <v>83</v>
      </c>
      <c r="C375" s="39"/>
      <c r="D375" s="39"/>
      <c r="E375" s="39"/>
      <c r="F375" s="56">
        <f>+F376</f>
        <v>1285100</v>
      </c>
      <c r="G375" s="56">
        <v>0</v>
      </c>
      <c r="H375" s="56">
        <f>H376</f>
        <v>1285100</v>
      </c>
      <c r="I375" s="56">
        <v>0</v>
      </c>
    </row>
    <row r="376" spans="1:9" ht="31.5">
      <c r="A376" s="22" t="s">
        <v>260</v>
      </c>
      <c r="B376" s="39" t="s">
        <v>83</v>
      </c>
      <c r="C376" s="39" t="s">
        <v>261</v>
      </c>
      <c r="D376" s="39"/>
      <c r="E376" s="39"/>
      <c r="F376" s="56">
        <f>F377</f>
        <v>1285100</v>
      </c>
      <c r="G376" s="56">
        <v>0</v>
      </c>
      <c r="H376" s="56">
        <f>H377</f>
        <v>1285100</v>
      </c>
      <c r="I376" s="56">
        <v>0</v>
      </c>
    </row>
    <row r="377" spans="1:9" ht="15.75">
      <c r="A377" s="38" t="s">
        <v>53</v>
      </c>
      <c r="B377" s="39" t="s">
        <v>83</v>
      </c>
      <c r="C377" s="39" t="s">
        <v>261</v>
      </c>
      <c r="D377" s="39" t="s">
        <v>268</v>
      </c>
      <c r="E377" s="39"/>
      <c r="F377" s="56">
        <f>F378</f>
        <v>1285100</v>
      </c>
      <c r="G377" s="56">
        <v>0</v>
      </c>
      <c r="H377" s="56">
        <f>H378</f>
        <v>1285100</v>
      </c>
      <c r="I377" s="56">
        <v>0</v>
      </c>
    </row>
    <row r="378" spans="1:9" ht="15.75">
      <c r="A378" s="38" t="s">
        <v>54</v>
      </c>
      <c r="B378" s="39" t="s">
        <v>83</v>
      </c>
      <c r="C378" s="39" t="s">
        <v>261</v>
      </c>
      <c r="D378" s="39" t="s">
        <v>268</v>
      </c>
      <c r="E378" s="39" t="s">
        <v>55</v>
      </c>
      <c r="F378" s="56">
        <v>1285100</v>
      </c>
      <c r="G378" s="56">
        <v>0</v>
      </c>
      <c r="H378" s="56">
        <v>1285100</v>
      </c>
      <c r="I378" s="56">
        <v>0</v>
      </c>
    </row>
    <row r="379" spans="1:9" ht="63">
      <c r="A379" s="19" t="s">
        <v>295</v>
      </c>
      <c r="B379" s="18" t="s">
        <v>86</v>
      </c>
      <c r="C379" s="18"/>
      <c r="D379" s="18"/>
      <c r="E379" s="18"/>
      <c r="F379" s="59">
        <f>F380+F384+F388</f>
        <v>7386052</v>
      </c>
      <c r="G379" s="59">
        <v>0</v>
      </c>
      <c r="H379" s="59">
        <f>H380+H384+H388</f>
        <v>7371052</v>
      </c>
      <c r="I379" s="56">
        <v>0</v>
      </c>
    </row>
    <row r="380" spans="1:9" ht="31.5">
      <c r="A380" s="38" t="s">
        <v>127</v>
      </c>
      <c r="B380" s="39" t="s">
        <v>88</v>
      </c>
      <c r="C380" s="39"/>
      <c r="D380" s="39"/>
      <c r="E380" s="39"/>
      <c r="F380" s="56">
        <f>F381</f>
        <v>6039400</v>
      </c>
      <c r="G380" s="56">
        <v>0</v>
      </c>
      <c r="H380" s="56">
        <f>H381</f>
        <v>6039400</v>
      </c>
      <c r="I380" s="56">
        <v>0</v>
      </c>
    </row>
    <row r="381" spans="1:9" ht="78.75">
      <c r="A381" s="38" t="s">
        <v>271</v>
      </c>
      <c r="B381" s="39" t="s">
        <v>88</v>
      </c>
      <c r="C381" s="39" t="s">
        <v>272</v>
      </c>
      <c r="D381" s="39"/>
      <c r="E381" s="39"/>
      <c r="F381" s="56">
        <f>F382</f>
        <v>6039400</v>
      </c>
      <c r="G381" s="56">
        <v>0</v>
      </c>
      <c r="H381" s="56">
        <f>H382</f>
        <v>6039400</v>
      </c>
      <c r="I381" s="56">
        <v>0</v>
      </c>
    </row>
    <row r="382" spans="1:9" ht="15.75">
      <c r="A382" s="38" t="s">
        <v>53</v>
      </c>
      <c r="B382" s="39" t="s">
        <v>88</v>
      </c>
      <c r="C382" s="39" t="s">
        <v>272</v>
      </c>
      <c r="D382" s="39" t="s">
        <v>268</v>
      </c>
      <c r="E382" s="39"/>
      <c r="F382" s="56">
        <f>F383</f>
        <v>6039400</v>
      </c>
      <c r="G382" s="56">
        <v>0</v>
      </c>
      <c r="H382" s="56">
        <f>H383</f>
        <v>6039400</v>
      </c>
      <c r="I382" s="56">
        <v>0</v>
      </c>
    </row>
    <row r="383" spans="1:9" s="11" customFormat="1" ht="63">
      <c r="A383" s="38" t="s">
        <v>125</v>
      </c>
      <c r="B383" s="39" t="s">
        <v>88</v>
      </c>
      <c r="C383" s="39" t="s">
        <v>272</v>
      </c>
      <c r="D383" s="39" t="s">
        <v>268</v>
      </c>
      <c r="E383" s="39" t="s">
        <v>269</v>
      </c>
      <c r="F383" s="56">
        <f>6232400-193000</f>
        <v>6039400</v>
      </c>
      <c r="G383" s="56">
        <v>0</v>
      </c>
      <c r="H383" s="56">
        <f>6232400-193000</f>
        <v>6039400</v>
      </c>
      <c r="I383" s="56">
        <v>0</v>
      </c>
    </row>
    <row r="384" spans="1:9" s="11" customFormat="1" ht="50.25" customHeight="1">
      <c r="A384" s="38" t="s">
        <v>90</v>
      </c>
      <c r="B384" s="39" t="s">
        <v>89</v>
      </c>
      <c r="C384" s="39"/>
      <c r="D384" s="39"/>
      <c r="E384" s="39"/>
      <c r="F384" s="56">
        <f>+F385</f>
        <v>1153652</v>
      </c>
      <c r="G384" s="56">
        <v>0</v>
      </c>
      <c r="H384" s="56">
        <f>+H385</f>
        <v>1138652</v>
      </c>
      <c r="I384" s="56">
        <v>0</v>
      </c>
    </row>
    <row r="385" spans="1:9" ht="31.5">
      <c r="A385" s="22" t="s">
        <v>260</v>
      </c>
      <c r="B385" s="39" t="s">
        <v>89</v>
      </c>
      <c r="C385" s="39" t="s">
        <v>261</v>
      </c>
      <c r="D385" s="39"/>
      <c r="E385" s="39"/>
      <c r="F385" s="56">
        <f>+F386</f>
        <v>1153652</v>
      </c>
      <c r="G385" s="56">
        <v>0</v>
      </c>
      <c r="H385" s="56">
        <f>+H386</f>
        <v>1138652</v>
      </c>
      <c r="I385" s="56">
        <v>0</v>
      </c>
    </row>
    <row r="386" spans="1:9" ht="15.75">
      <c r="A386" s="38" t="s">
        <v>53</v>
      </c>
      <c r="B386" s="39" t="s">
        <v>89</v>
      </c>
      <c r="C386" s="39" t="s">
        <v>261</v>
      </c>
      <c r="D386" s="39" t="s">
        <v>268</v>
      </c>
      <c r="E386" s="39"/>
      <c r="F386" s="56">
        <f>F387</f>
        <v>1153652</v>
      </c>
      <c r="G386" s="56">
        <v>0</v>
      </c>
      <c r="H386" s="56">
        <f>H387</f>
        <v>1138652</v>
      </c>
      <c r="I386" s="56">
        <v>0</v>
      </c>
    </row>
    <row r="387" spans="1:9" ht="63">
      <c r="A387" s="38" t="s">
        <v>125</v>
      </c>
      <c r="B387" s="39" t="s">
        <v>89</v>
      </c>
      <c r="C387" s="39" t="s">
        <v>261</v>
      </c>
      <c r="D387" s="39" t="s">
        <v>268</v>
      </c>
      <c r="E387" s="39" t="s">
        <v>269</v>
      </c>
      <c r="F387" s="56">
        <f>823852+329800</f>
        <v>1153652</v>
      </c>
      <c r="G387" s="56">
        <v>0</v>
      </c>
      <c r="H387" s="56">
        <f>808852+329800</f>
        <v>1138652</v>
      </c>
      <c r="I387" s="56">
        <v>0</v>
      </c>
    </row>
    <row r="388" spans="1:9" ht="63">
      <c r="A388" s="25" t="s">
        <v>323</v>
      </c>
      <c r="B388" s="21" t="s">
        <v>324</v>
      </c>
      <c r="C388" s="31"/>
      <c r="D388" s="31"/>
      <c r="E388" s="31"/>
      <c r="F388" s="44">
        <f>F389</f>
        <v>193000</v>
      </c>
      <c r="G388" s="56">
        <v>0</v>
      </c>
      <c r="H388" s="44">
        <f>H389</f>
        <v>193000</v>
      </c>
      <c r="I388" s="56">
        <v>0</v>
      </c>
    </row>
    <row r="389" spans="1:9" ht="78.75">
      <c r="A389" s="25" t="s">
        <v>271</v>
      </c>
      <c r="B389" s="21" t="s">
        <v>324</v>
      </c>
      <c r="C389" s="31" t="s">
        <v>272</v>
      </c>
      <c r="D389" s="31"/>
      <c r="E389" s="31"/>
      <c r="F389" s="44">
        <f>F390</f>
        <v>193000</v>
      </c>
      <c r="G389" s="56">
        <v>0</v>
      </c>
      <c r="H389" s="44">
        <f>H390</f>
        <v>193000</v>
      </c>
      <c r="I389" s="56">
        <v>0</v>
      </c>
    </row>
    <row r="390" spans="1:9" ht="15.75">
      <c r="A390" s="20" t="s">
        <v>53</v>
      </c>
      <c r="B390" s="21" t="s">
        <v>324</v>
      </c>
      <c r="C390" s="31" t="s">
        <v>272</v>
      </c>
      <c r="D390" s="31" t="s">
        <v>268</v>
      </c>
      <c r="E390" s="31"/>
      <c r="F390" s="44">
        <f>F391</f>
        <v>193000</v>
      </c>
      <c r="G390" s="56">
        <v>0</v>
      </c>
      <c r="H390" s="44">
        <f>H391</f>
        <v>193000</v>
      </c>
      <c r="I390" s="56">
        <v>0</v>
      </c>
    </row>
    <row r="391" spans="1:9" ht="63">
      <c r="A391" s="20" t="s">
        <v>125</v>
      </c>
      <c r="B391" s="21" t="s">
        <v>324</v>
      </c>
      <c r="C391" s="31" t="s">
        <v>272</v>
      </c>
      <c r="D391" s="31" t="s">
        <v>268</v>
      </c>
      <c r="E391" s="31" t="s">
        <v>269</v>
      </c>
      <c r="F391" s="44">
        <v>193000</v>
      </c>
      <c r="G391" s="56">
        <v>0</v>
      </c>
      <c r="H391" s="44">
        <v>193000</v>
      </c>
      <c r="I391" s="56">
        <v>0</v>
      </c>
    </row>
    <row r="392" spans="1:9" ht="31.5">
      <c r="A392" s="19" t="s">
        <v>93</v>
      </c>
      <c r="B392" s="18" t="s">
        <v>91</v>
      </c>
      <c r="C392" s="18"/>
      <c r="D392" s="18"/>
      <c r="E392" s="18"/>
      <c r="F392" s="59">
        <f>F393+F398+F406</f>
        <v>26572470</v>
      </c>
      <c r="G392" s="59">
        <f>G393+G398+G406</f>
        <v>1910230</v>
      </c>
      <c r="H392" s="59">
        <f>H393+H398+H406</f>
        <v>27293940</v>
      </c>
      <c r="I392" s="59">
        <f>I393+I398+I406</f>
        <v>2021700</v>
      </c>
    </row>
    <row r="393" spans="1:9" s="11" customFormat="1" ht="30" customHeight="1">
      <c r="A393" s="19" t="s">
        <v>94</v>
      </c>
      <c r="B393" s="18" t="s">
        <v>92</v>
      </c>
      <c r="C393" s="18"/>
      <c r="D393" s="18"/>
      <c r="E393" s="18"/>
      <c r="F393" s="59">
        <f>F394</f>
        <v>550000</v>
      </c>
      <c r="G393" s="59">
        <v>0</v>
      </c>
      <c r="H393" s="59">
        <f>H394</f>
        <v>550000</v>
      </c>
      <c r="I393" s="59">
        <v>0</v>
      </c>
    </row>
    <row r="394" spans="1:9" ht="31.5">
      <c r="A394" s="38" t="s">
        <v>162</v>
      </c>
      <c r="B394" s="39" t="s">
        <v>95</v>
      </c>
      <c r="C394" s="39"/>
      <c r="D394" s="39"/>
      <c r="E394" s="39"/>
      <c r="F394" s="56">
        <f>F395</f>
        <v>550000</v>
      </c>
      <c r="G394" s="56">
        <v>0</v>
      </c>
      <c r="H394" s="56">
        <f>H395</f>
        <v>550000</v>
      </c>
      <c r="I394" s="56">
        <v>0</v>
      </c>
    </row>
    <row r="395" spans="1:9" ht="31.5">
      <c r="A395" s="22" t="s">
        <v>260</v>
      </c>
      <c r="B395" s="39" t="s">
        <v>95</v>
      </c>
      <c r="C395" s="39" t="s">
        <v>261</v>
      </c>
      <c r="D395" s="39"/>
      <c r="E395" s="39"/>
      <c r="F395" s="56">
        <f>F396</f>
        <v>550000</v>
      </c>
      <c r="G395" s="56">
        <v>0</v>
      </c>
      <c r="H395" s="56">
        <f>H396</f>
        <v>550000</v>
      </c>
      <c r="I395" s="56">
        <v>0</v>
      </c>
    </row>
    <row r="396" spans="1:9" ht="15.75">
      <c r="A396" s="38" t="s">
        <v>57</v>
      </c>
      <c r="B396" s="39" t="s">
        <v>95</v>
      </c>
      <c r="C396" s="39" t="s">
        <v>261</v>
      </c>
      <c r="D396" s="39" t="s">
        <v>269</v>
      </c>
      <c r="E396" s="39"/>
      <c r="F396" s="56">
        <f>F397</f>
        <v>550000</v>
      </c>
      <c r="G396" s="56">
        <v>0</v>
      </c>
      <c r="H396" s="56">
        <f>H397</f>
        <v>550000</v>
      </c>
      <c r="I396" s="56">
        <v>0</v>
      </c>
    </row>
    <row r="397" spans="1:9" ht="31.5">
      <c r="A397" s="38" t="s">
        <v>110</v>
      </c>
      <c r="B397" s="39" t="s">
        <v>95</v>
      </c>
      <c r="C397" s="39" t="s">
        <v>261</v>
      </c>
      <c r="D397" s="39" t="s">
        <v>269</v>
      </c>
      <c r="E397" s="39" t="s">
        <v>111</v>
      </c>
      <c r="F397" s="56">
        <v>550000</v>
      </c>
      <c r="G397" s="56">
        <v>0</v>
      </c>
      <c r="H397" s="56">
        <v>550000</v>
      </c>
      <c r="I397" s="56">
        <v>0</v>
      </c>
    </row>
    <row r="398" spans="1:9" ht="31.5">
      <c r="A398" s="19" t="s">
        <v>97</v>
      </c>
      <c r="B398" s="18" t="s">
        <v>96</v>
      </c>
      <c r="C398" s="18"/>
      <c r="D398" s="18"/>
      <c r="E398" s="18"/>
      <c r="F398" s="59">
        <f>F399</f>
        <v>857500</v>
      </c>
      <c r="G398" s="59">
        <v>0</v>
      </c>
      <c r="H398" s="59">
        <f>H399</f>
        <v>902500</v>
      </c>
      <c r="I398" s="59">
        <v>0</v>
      </c>
    </row>
    <row r="399" spans="1:9" ht="31.5">
      <c r="A399" s="38" t="s">
        <v>162</v>
      </c>
      <c r="B399" s="39" t="s">
        <v>98</v>
      </c>
      <c r="C399" s="39"/>
      <c r="D399" s="39"/>
      <c r="E399" s="39"/>
      <c r="F399" s="56">
        <f>F400+F403</f>
        <v>857500</v>
      </c>
      <c r="G399" s="56">
        <v>0</v>
      </c>
      <c r="H399" s="56">
        <f>H400+H403</f>
        <v>902500</v>
      </c>
      <c r="I399" s="56">
        <v>0</v>
      </c>
    </row>
    <row r="400" spans="1:9" ht="78.75">
      <c r="A400" s="38" t="s">
        <v>271</v>
      </c>
      <c r="B400" s="39" t="s">
        <v>98</v>
      </c>
      <c r="C400" s="39" t="s">
        <v>272</v>
      </c>
      <c r="D400" s="39"/>
      <c r="E400" s="39"/>
      <c r="F400" s="56">
        <f>F401</f>
        <v>208000</v>
      </c>
      <c r="G400" s="56">
        <v>0</v>
      </c>
      <c r="H400" s="56">
        <f>H401</f>
        <v>208000</v>
      </c>
      <c r="I400" s="56">
        <v>0</v>
      </c>
    </row>
    <row r="401" spans="1:9" s="11" customFormat="1" ht="15.75">
      <c r="A401" s="38" t="s">
        <v>53</v>
      </c>
      <c r="B401" s="39" t="s">
        <v>98</v>
      </c>
      <c r="C401" s="39" t="s">
        <v>272</v>
      </c>
      <c r="D401" s="39" t="s">
        <v>268</v>
      </c>
      <c r="E401" s="39"/>
      <c r="F401" s="56">
        <f>F402</f>
        <v>208000</v>
      </c>
      <c r="G401" s="56">
        <v>0</v>
      </c>
      <c r="H401" s="56">
        <f>H402</f>
        <v>208000</v>
      </c>
      <c r="I401" s="56">
        <v>0</v>
      </c>
    </row>
    <row r="402" spans="1:9" ht="15.75">
      <c r="A402" s="38" t="s">
        <v>54</v>
      </c>
      <c r="B402" s="39" t="s">
        <v>98</v>
      </c>
      <c r="C402" s="39" t="s">
        <v>272</v>
      </c>
      <c r="D402" s="39" t="s">
        <v>268</v>
      </c>
      <c r="E402" s="39" t="s">
        <v>55</v>
      </c>
      <c r="F402" s="56">
        <f>83000+60000+65000</f>
        <v>208000</v>
      </c>
      <c r="G402" s="56">
        <v>0</v>
      </c>
      <c r="H402" s="56">
        <f>83000+60000+65000</f>
        <v>208000</v>
      </c>
      <c r="I402" s="56">
        <v>0</v>
      </c>
    </row>
    <row r="403" spans="1:9" ht="31.5">
      <c r="A403" s="22" t="s">
        <v>260</v>
      </c>
      <c r="B403" s="39" t="s">
        <v>98</v>
      </c>
      <c r="C403" s="39" t="s">
        <v>261</v>
      </c>
      <c r="D403" s="39"/>
      <c r="E403" s="39"/>
      <c r="F403" s="56">
        <f>F404</f>
        <v>649500</v>
      </c>
      <c r="G403" s="56">
        <v>0</v>
      </c>
      <c r="H403" s="56">
        <f>H404</f>
        <v>694500</v>
      </c>
      <c r="I403" s="56">
        <v>0</v>
      </c>
    </row>
    <row r="404" spans="1:9" ht="15.75">
      <c r="A404" s="38" t="s">
        <v>53</v>
      </c>
      <c r="B404" s="39" t="s">
        <v>98</v>
      </c>
      <c r="C404" s="39" t="s">
        <v>261</v>
      </c>
      <c r="D404" s="39" t="s">
        <v>268</v>
      </c>
      <c r="E404" s="39"/>
      <c r="F404" s="56">
        <f>F405</f>
        <v>649500</v>
      </c>
      <c r="G404" s="56">
        <v>0</v>
      </c>
      <c r="H404" s="56">
        <f>H405</f>
        <v>694500</v>
      </c>
      <c r="I404" s="56">
        <v>0</v>
      </c>
    </row>
    <row r="405" spans="1:9" ht="15.75">
      <c r="A405" s="38" t="s">
        <v>54</v>
      </c>
      <c r="B405" s="39" t="s">
        <v>98</v>
      </c>
      <c r="C405" s="39" t="s">
        <v>261</v>
      </c>
      <c r="D405" s="39" t="s">
        <v>268</v>
      </c>
      <c r="E405" s="39" t="s">
        <v>55</v>
      </c>
      <c r="F405" s="56">
        <f>200000+81000+290000+78500</f>
        <v>649500</v>
      </c>
      <c r="G405" s="56">
        <v>0</v>
      </c>
      <c r="H405" s="56">
        <f>245000+81000+290000+78500</f>
        <v>694500</v>
      </c>
      <c r="I405" s="56">
        <v>0</v>
      </c>
    </row>
    <row r="406" spans="1:9" ht="47.25">
      <c r="A406" s="19" t="s">
        <v>296</v>
      </c>
      <c r="B406" s="18" t="s">
        <v>99</v>
      </c>
      <c r="C406" s="18"/>
      <c r="D406" s="18"/>
      <c r="E406" s="18"/>
      <c r="F406" s="59">
        <f>F407+F411+F415+F423+F432+F436+F440+F447+F451+F455+F427+F419</f>
        <v>25164970</v>
      </c>
      <c r="G406" s="59">
        <f>G407+G411+G415+G423+G432+G436+G440+G447+G451+G455+G427+G419</f>
        <v>1910230</v>
      </c>
      <c r="H406" s="59">
        <f>H407+H411+H415+H423+H432+H436+H440+H447+H451+H455+H427+H419</f>
        <v>25841440</v>
      </c>
      <c r="I406" s="59">
        <f>I407+I411+I415+I423+I432+I436+I440+I447+I451+I455+I427+I419</f>
        <v>2021700</v>
      </c>
    </row>
    <row r="407" spans="1:9" ht="31.5">
      <c r="A407" s="38" t="s">
        <v>101</v>
      </c>
      <c r="B407" s="39" t="s">
        <v>100</v>
      </c>
      <c r="C407" s="39"/>
      <c r="D407" s="39"/>
      <c r="E407" s="39"/>
      <c r="F407" s="56">
        <f>F408</f>
        <v>1695000</v>
      </c>
      <c r="G407" s="56">
        <v>0</v>
      </c>
      <c r="H407" s="56">
        <f>H408</f>
        <v>1710000</v>
      </c>
      <c r="I407" s="56">
        <v>0</v>
      </c>
    </row>
    <row r="408" spans="1:9" ht="78.75">
      <c r="A408" s="38" t="s">
        <v>271</v>
      </c>
      <c r="B408" s="39" t="s">
        <v>100</v>
      </c>
      <c r="C408" s="39" t="s">
        <v>272</v>
      </c>
      <c r="D408" s="39"/>
      <c r="E408" s="39"/>
      <c r="F408" s="56">
        <f>F409</f>
        <v>1695000</v>
      </c>
      <c r="G408" s="56">
        <v>0</v>
      </c>
      <c r="H408" s="56">
        <f>H409</f>
        <v>1710000</v>
      </c>
      <c r="I408" s="56">
        <v>0</v>
      </c>
    </row>
    <row r="409" spans="1:9" ht="15.75">
      <c r="A409" s="38" t="s">
        <v>53</v>
      </c>
      <c r="B409" s="39" t="s">
        <v>100</v>
      </c>
      <c r="C409" s="39" t="s">
        <v>272</v>
      </c>
      <c r="D409" s="39" t="s">
        <v>268</v>
      </c>
      <c r="E409" s="39"/>
      <c r="F409" s="56">
        <f>F410</f>
        <v>1695000</v>
      </c>
      <c r="G409" s="56">
        <v>0</v>
      </c>
      <c r="H409" s="56">
        <f>H410</f>
        <v>1710000</v>
      </c>
      <c r="I409" s="56">
        <v>0</v>
      </c>
    </row>
    <row r="410" spans="1:9" ht="15.75">
      <c r="A410" s="38" t="s">
        <v>54</v>
      </c>
      <c r="B410" s="39" t="s">
        <v>100</v>
      </c>
      <c r="C410" s="39" t="s">
        <v>272</v>
      </c>
      <c r="D410" s="39" t="s">
        <v>268</v>
      </c>
      <c r="E410" s="39" t="s">
        <v>269</v>
      </c>
      <c r="F410" s="56">
        <f>1710000-15000</f>
        <v>1695000</v>
      </c>
      <c r="G410" s="56">
        <v>0</v>
      </c>
      <c r="H410" s="56">
        <f>1725000-15000</f>
        <v>1710000</v>
      </c>
      <c r="I410" s="56">
        <v>0</v>
      </c>
    </row>
    <row r="411" spans="1:9" ht="31.5">
      <c r="A411" s="38" t="s">
        <v>127</v>
      </c>
      <c r="B411" s="39" t="s">
        <v>103</v>
      </c>
      <c r="C411" s="39"/>
      <c r="D411" s="39"/>
      <c r="E411" s="39"/>
      <c r="F411" s="56">
        <f>F412</f>
        <v>18791310</v>
      </c>
      <c r="G411" s="56">
        <v>0</v>
      </c>
      <c r="H411" s="56">
        <f>H412</f>
        <v>18791310</v>
      </c>
      <c r="I411" s="56">
        <v>0</v>
      </c>
    </row>
    <row r="412" spans="1:9" ht="78.75">
      <c r="A412" s="38" t="s">
        <v>271</v>
      </c>
      <c r="B412" s="39" t="s">
        <v>103</v>
      </c>
      <c r="C412" s="39" t="s">
        <v>272</v>
      </c>
      <c r="D412" s="39"/>
      <c r="E412" s="39"/>
      <c r="F412" s="56">
        <f>F413</f>
        <v>18791310</v>
      </c>
      <c r="G412" s="56">
        <v>0</v>
      </c>
      <c r="H412" s="56">
        <f>H413</f>
        <v>18791310</v>
      </c>
      <c r="I412" s="56">
        <v>0</v>
      </c>
    </row>
    <row r="413" spans="1:9" ht="15.75">
      <c r="A413" s="38" t="s">
        <v>53</v>
      </c>
      <c r="B413" s="39" t="s">
        <v>103</v>
      </c>
      <c r="C413" s="39" t="s">
        <v>272</v>
      </c>
      <c r="D413" s="39" t="s">
        <v>268</v>
      </c>
      <c r="E413" s="39"/>
      <c r="F413" s="56">
        <f>F414</f>
        <v>18791310</v>
      </c>
      <c r="G413" s="56">
        <v>0</v>
      </c>
      <c r="H413" s="56">
        <f>H414</f>
        <v>18791310</v>
      </c>
      <c r="I413" s="56">
        <v>0</v>
      </c>
    </row>
    <row r="414" spans="1:9" ht="63">
      <c r="A414" s="38" t="s">
        <v>125</v>
      </c>
      <c r="B414" s="39" t="s">
        <v>103</v>
      </c>
      <c r="C414" s="39" t="s">
        <v>272</v>
      </c>
      <c r="D414" s="39" t="s">
        <v>268</v>
      </c>
      <c r="E414" s="39" t="s">
        <v>269</v>
      </c>
      <c r="F414" s="56">
        <f>19191240-399930</f>
        <v>18791310</v>
      </c>
      <c r="G414" s="56">
        <v>0</v>
      </c>
      <c r="H414" s="56">
        <f>19191240-399930</f>
        <v>18791310</v>
      </c>
      <c r="I414" s="56">
        <v>0</v>
      </c>
    </row>
    <row r="415" spans="1:9" ht="31.5">
      <c r="A415" s="38" t="s">
        <v>90</v>
      </c>
      <c r="B415" s="39" t="s">
        <v>104</v>
      </c>
      <c r="C415" s="39"/>
      <c r="D415" s="39"/>
      <c r="E415" s="39"/>
      <c r="F415" s="56">
        <f>F416</f>
        <v>79000</v>
      </c>
      <c r="G415" s="56">
        <v>0</v>
      </c>
      <c r="H415" s="56">
        <f>H416</f>
        <v>79000</v>
      </c>
      <c r="I415" s="56">
        <v>0</v>
      </c>
    </row>
    <row r="416" spans="1:9" ht="31.5">
      <c r="A416" s="22" t="s">
        <v>260</v>
      </c>
      <c r="B416" s="39" t="s">
        <v>104</v>
      </c>
      <c r="C416" s="39" t="s">
        <v>261</v>
      </c>
      <c r="D416" s="39"/>
      <c r="E416" s="39"/>
      <c r="F416" s="56">
        <f>F417</f>
        <v>79000</v>
      </c>
      <c r="G416" s="56">
        <v>0</v>
      </c>
      <c r="H416" s="56">
        <f>H417</f>
        <v>79000</v>
      </c>
      <c r="I416" s="56">
        <v>0</v>
      </c>
    </row>
    <row r="417" spans="1:9" ht="15.75">
      <c r="A417" s="38" t="s">
        <v>53</v>
      </c>
      <c r="B417" s="39" t="s">
        <v>104</v>
      </c>
      <c r="C417" s="39" t="s">
        <v>261</v>
      </c>
      <c r="D417" s="39" t="s">
        <v>268</v>
      </c>
      <c r="E417" s="39"/>
      <c r="F417" s="56">
        <f>F418</f>
        <v>79000</v>
      </c>
      <c r="G417" s="56">
        <v>0</v>
      </c>
      <c r="H417" s="56">
        <f>H418</f>
        <v>79000</v>
      </c>
      <c r="I417" s="56">
        <v>0</v>
      </c>
    </row>
    <row r="418" spans="1:9" ht="63">
      <c r="A418" s="38" t="s">
        <v>125</v>
      </c>
      <c r="B418" s="39" t="s">
        <v>104</v>
      </c>
      <c r="C418" s="39" t="s">
        <v>261</v>
      </c>
      <c r="D418" s="39" t="s">
        <v>268</v>
      </c>
      <c r="E418" s="39" t="s">
        <v>269</v>
      </c>
      <c r="F418" s="56">
        <v>79000</v>
      </c>
      <c r="G418" s="56">
        <v>0</v>
      </c>
      <c r="H418" s="56">
        <v>79000</v>
      </c>
      <c r="I418" s="56">
        <v>0</v>
      </c>
    </row>
    <row r="419" spans="1:9" ht="63">
      <c r="A419" s="25" t="s">
        <v>323</v>
      </c>
      <c r="B419" s="21" t="s">
        <v>325</v>
      </c>
      <c r="C419" s="31"/>
      <c r="D419" s="31"/>
      <c r="E419" s="31"/>
      <c r="F419" s="44">
        <f>F420</f>
        <v>414930</v>
      </c>
      <c r="G419" s="56">
        <v>0</v>
      </c>
      <c r="H419" s="44">
        <f>H420</f>
        <v>414930</v>
      </c>
      <c r="I419" s="56">
        <v>0</v>
      </c>
    </row>
    <row r="420" spans="1:9" ht="78.75">
      <c r="A420" s="25" t="s">
        <v>271</v>
      </c>
      <c r="B420" s="21" t="s">
        <v>325</v>
      </c>
      <c r="C420" s="31" t="s">
        <v>272</v>
      </c>
      <c r="D420" s="31"/>
      <c r="E420" s="31"/>
      <c r="F420" s="44">
        <f>F422</f>
        <v>414930</v>
      </c>
      <c r="G420" s="56">
        <v>0</v>
      </c>
      <c r="H420" s="44">
        <f>H422</f>
        <v>414930</v>
      </c>
      <c r="I420" s="56">
        <v>0</v>
      </c>
    </row>
    <row r="421" spans="1:9" ht="15.75">
      <c r="A421" s="20" t="s">
        <v>53</v>
      </c>
      <c r="B421" s="21" t="s">
        <v>325</v>
      </c>
      <c r="C421" s="31" t="s">
        <v>272</v>
      </c>
      <c r="D421" s="31" t="s">
        <v>268</v>
      </c>
      <c r="E421" s="31"/>
      <c r="F421" s="44"/>
      <c r="G421" s="56">
        <v>0</v>
      </c>
      <c r="H421" s="44"/>
      <c r="I421" s="56">
        <v>0</v>
      </c>
    </row>
    <row r="422" spans="1:9" ht="63">
      <c r="A422" s="20" t="s">
        <v>125</v>
      </c>
      <c r="B422" s="21" t="s">
        <v>325</v>
      </c>
      <c r="C422" s="31" t="s">
        <v>272</v>
      </c>
      <c r="D422" s="31" t="s">
        <v>268</v>
      </c>
      <c r="E422" s="31" t="s">
        <v>269</v>
      </c>
      <c r="F422" s="44">
        <f>399930+15000</f>
        <v>414930</v>
      </c>
      <c r="G422" s="56">
        <v>0</v>
      </c>
      <c r="H422" s="44">
        <f>399930+15000</f>
        <v>414930</v>
      </c>
      <c r="I422" s="56">
        <v>0</v>
      </c>
    </row>
    <row r="423" spans="1:9" ht="47.25">
      <c r="A423" s="38" t="s">
        <v>185</v>
      </c>
      <c r="B423" s="39" t="s">
        <v>102</v>
      </c>
      <c r="C423" s="39"/>
      <c r="D423" s="39"/>
      <c r="E423" s="39"/>
      <c r="F423" s="56">
        <f>F424</f>
        <v>2200000</v>
      </c>
      <c r="G423" s="56">
        <v>0</v>
      </c>
      <c r="H423" s="56">
        <f>H424</f>
        <v>2300000</v>
      </c>
      <c r="I423" s="56">
        <v>0</v>
      </c>
    </row>
    <row r="424" spans="1:9" ht="47.25">
      <c r="A424" s="38" t="s">
        <v>251</v>
      </c>
      <c r="B424" s="39" t="s">
        <v>102</v>
      </c>
      <c r="C424" s="39" t="s">
        <v>252</v>
      </c>
      <c r="D424" s="39"/>
      <c r="E424" s="39"/>
      <c r="F424" s="56">
        <f>F425</f>
        <v>2200000</v>
      </c>
      <c r="G424" s="56">
        <v>0</v>
      </c>
      <c r="H424" s="56">
        <f>H425</f>
        <v>2300000</v>
      </c>
      <c r="I424" s="56">
        <v>0</v>
      </c>
    </row>
    <row r="425" spans="1:9" ht="15.75">
      <c r="A425" s="38" t="s">
        <v>59</v>
      </c>
      <c r="B425" s="39" t="s">
        <v>102</v>
      </c>
      <c r="C425" s="39" t="s">
        <v>252</v>
      </c>
      <c r="D425" s="39" t="s">
        <v>275</v>
      </c>
      <c r="E425" s="39"/>
      <c r="F425" s="56">
        <f>F426</f>
        <v>2200000</v>
      </c>
      <c r="G425" s="56">
        <v>0</v>
      </c>
      <c r="H425" s="56">
        <f>H426</f>
        <v>2300000</v>
      </c>
      <c r="I425" s="56">
        <v>0</v>
      </c>
    </row>
    <row r="426" spans="1:9" ht="31.5">
      <c r="A426" s="38" t="s">
        <v>60</v>
      </c>
      <c r="B426" s="39" t="s">
        <v>102</v>
      </c>
      <c r="C426" s="39" t="s">
        <v>252</v>
      </c>
      <c r="D426" s="39" t="s">
        <v>275</v>
      </c>
      <c r="E426" s="39" t="s">
        <v>275</v>
      </c>
      <c r="F426" s="56">
        <v>2200000</v>
      </c>
      <c r="G426" s="56">
        <v>0</v>
      </c>
      <c r="H426" s="56">
        <v>2300000</v>
      </c>
      <c r="I426" s="56">
        <v>0</v>
      </c>
    </row>
    <row r="427" spans="1:9" ht="31.5">
      <c r="A427" s="38" t="s">
        <v>162</v>
      </c>
      <c r="B427" s="39" t="s">
        <v>284</v>
      </c>
      <c r="C427" s="39"/>
      <c r="D427" s="39"/>
      <c r="E427" s="39"/>
      <c r="F427" s="56">
        <f>F428</f>
        <v>74500</v>
      </c>
      <c r="G427" s="56">
        <v>0</v>
      </c>
      <c r="H427" s="56">
        <f>H428</f>
        <v>524500</v>
      </c>
      <c r="I427" s="56">
        <v>0</v>
      </c>
    </row>
    <row r="428" spans="1:9" ht="31.5">
      <c r="A428" s="22" t="s">
        <v>260</v>
      </c>
      <c r="B428" s="39" t="s">
        <v>284</v>
      </c>
      <c r="C428" s="39" t="s">
        <v>261</v>
      </c>
      <c r="D428" s="39"/>
      <c r="E428" s="39"/>
      <c r="F428" s="56">
        <f>F429</f>
        <v>74500</v>
      </c>
      <c r="G428" s="56">
        <v>0</v>
      </c>
      <c r="H428" s="56">
        <f>H429</f>
        <v>524500</v>
      </c>
      <c r="I428" s="56">
        <v>0</v>
      </c>
    </row>
    <row r="429" spans="1:9" ht="15.75">
      <c r="A429" s="38" t="s">
        <v>53</v>
      </c>
      <c r="B429" s="39" t="s">
        <v>284</v>
      </c>
      <c r="C429" s="39" t="s">
        <v>261</v>
      </c>
      <c r="D429" s="39" t="s">
        <v>268</v>
      </c>
      <c r="E429" s="39"/>
      <c r="F429" s="56">
        <f>F430+F431</f>
        <v>74500</v>
      </c>
      <c r="G429" s="56">
        <v>0</v>
      </c>
      <c r="H429" s="56">
        <f>H430+H431</f>
        <v>524500</v>
      </c>
      <c r="I429" s="56">
        <v>0</v>
      </c>
    </row>
    <row r="430" spans="1:9" ht="15.75">
      <c r="A430" s="38" t="s">
        <v>267</v>
      </c>
      <c r="B430" s="39" t="s">
        <v>284</v>
      </c>
      <c r="C430" s="39" t="s">
        <v>261</v>
      </c>
      <c r="D430" s="39" t="s">
        <v>268</v>
      </c>
      <c r="E430" s="39" t="s">
        <v>254</v>
      </c>
      <c r="F430" s="56">
        <v>0</v>
      </c>
      <c r="G430" s="56">
        <v>0</v>
      </c>
      <c r="H430" s="56">
        <v>450000</v>
      </c>
      <c r="I430" s="56">
        <v>0</v>
      </c>
    </row>
    <row r="431" spans="1:9" ht="15.75">
      <c r="A431" s="38" t="s">
        <v>54</v>
      </c>
      <c r="B431" s="39" t="s">
        <v>284</v>
      </c>
      <c r="C431" s="39" t="s">
        <v>261</v>
      </c>
      <c r="D431" s="39" t="s">
        <v>268</v>
      </c>
      <c r="E431" s="39" t="s">
        <v>55</v>
      </c>
      <c r="F431" s="56">
        <v>74500</v>
      </c>
      <c r="G431" s="56">
        <v>0</v>
      </c>
      <c r="H431" s="56">
        <v>74500</v>
      </c>
      <c r="I431" s="56">
        <v>0</v>
      </c>
    </row>
    <row r="432" spans="1:9" ht="43.5" customHeight="1">
      <c r="A432" s="38" t="s">
        <v>329</v>
      </c>
      <c r="B432" s="39" t="s">
        <v>105</v>
      </c>
      <c r="C432" s="39"/>
      <c r="D432" s="39"/>
      <c r="E432" s="39"/>
      <c r="F432" s="56">
        <f>F433</f>
        <v>279100</v>
      </c>
      <c r="G432" s="56">
        <f>G433</f>
        <v>279100</v>
      </c>
      <c r="H432" s="56">
        <f>H433</f>
        <v>266400</v>
      </c>
      <c r="I432" s="56">
        <f>I433</f>
        <v>266400</v>
      </c>
    </row>
    <row r="433" spans="1:9" ht="78.75">
      <c r="A433" s="38" t="s">
        <v>271</v>
      </c>
      <c r="B433" s="39" t="s">
        <v>105</v>
      </c>
      <c r="C433" s="39" t="s">
        <v>272</v>
      </c>
      <c r="D433" s="39"/>
      <c r="E433" s="39"/>
      <c r="F433" s="56">
        <f aca="true" t="shared" si="32" ref="F433:I434">F434</f>
        <v>279100</v>
      </c>
      <c r="G433" s="56">
        <f t="shared" si="32"/>
        <v>279100</v>
      </c>
      <c r="H433" s="56">
        <f t="shared" si="32"/>
        <v>266400</v>
      </c>
      <c r="I433" s="56">
        <f t="shared" si="32"/>
        <v>266400</v>
      </c>
    </row>
    <row r="434" spans="1:9" ht="15.75">
      <c r="A434" s="38" t="s">
        <v>240</v>
      </c>
      <c r="B434" s="39" t="s">
        <v>105</v>
      </c>
      <c r="C434" s="39" t="s">
        <v>272</v>
      </c>
      <c r="D434" s="39" t="s">
        <v>257</v>
      </c>
      <c r="E434" s="39"/>
      <c r="F434" s="56">
        <f t="shared" si="32"/>
        <v>279100</v>
      </c>
      <c r="G434" s="56">
        <f t="shared" si="32"/>
        <v>279100</v>
      </c>
      <c r="H434" s="56">
        <f t="shared" si="32"/>
        <v>266400</v>
      </c>
      <c r="I434" s="56">
        <f t="shared" si="32"/>
        <v>266400</v>
      </c>
    </row>
    <row r="435" spans="1:9" ht="15.75">
      <c r="A435" s="38" t="s">
        <v>241</v>
      </c>
      <c r="B435" s="39" t="s">
        <v>105</v>
      </c>
      <c r="C435" s="39" t="s">
        <v>272</v>
      </c>
      <c r="D435" s="39" t="s">
        <v>257</v>
      </c>
      <c r="E435" s="39" t="s">
        <v>258</v>
      </c>
      <c r="F435" s="56">
        <v>279100</v>
      </c>
      <c r="G435" s="56">
        <v>279100</v>
      </c>
      <c r="H435" s="56">
        <v>266400</v>
      </c>
      <c r="I435" s="56">
        <v>266400</v>
      </c>
    </row>
    <row r="436" spans="1:9" ht="70.5" customHeight="1">
      <c r="A436" s="25" t="s">
        <v>307</v>
      </c>
      <c r="B436" s="39" t="s">
        <v>308</v>
      </c>
      <c r="C436" s="39"/>
      <c r="D436" s="39"/>
      <c r="E436" s="39"/>
      <c r="F436" s="56">
        <f aca="true" t="shared" si="33" ref="F436:I438">F437</f>
        <v>5130</v>
      </c>
      <c r="G436" s="56">
        <f t="shared" si="33"/>
        <v>5130</v>
      </c>
      <c r="H436" s="56">
        <f t="shared" si="33"/>
        <v>0</v>
      </c>
      <c r="I436" s="56">
        <f t="shared" si="33"/>
        <v>0</v>
      </c>
    </row>
    <row r="437" spans="1:9" ht="31.5">
      <c r="A437" s="22" t="s">
        <v>260</v>
      </c>
      <c r="B437" s="39" t="s">
        <v>308</v>
      </c>
      <c r="C437" s="39" t="s">
        <v>261</v>
      </c>
      <c r="D437" s="39"/>
      <c r="E437" s="39"/>
      <c r="F437" s="56">
        <f t="shared" si="33"/>
        <v>5130</v>
      </c>
      <c r="G437" s="56">
        <f t="shared" si="33"/>
        <v>5130</v>
      </c>
      <c r="H437" s="56">
        <f t="shared" si="33"/>
        <v>0</v>
      </c>
      <c r="I437" s="56">
        <f t="shared" si="33"/>
        <v>0</v>
      </c>
    </row>
    <row r="438" spans="1:9" ht="15.75">
      <c r="A438" s="38" t="s">
        <v>53</v>
      </c>
      <c r="B438" s="39" t="s">
        <v>308</v>
      </c>
      <c r="C438" s="39" t="s">
        <v>261</v>
      </c>
      <c r="D438" s="39" t="s">
        <v>268</v>
      </c>
      <c r="E438" s="39"/>
      <c r="F438" s="56">
        <f t="shared" si="33"/>
        <v>5130</v>
      </c>
      <c r="G438" s="56">
        <f t="shared" si="33"/>
        <v>5130</v>
      </c>
      <c r="H438" s="56">
        <f t="shared" si="33"/>
        <v>0</v>
      </c>
      <c r="I438" s="56">
        <f t="shared" si="33"/>
        <v>0</v>
      </c>
    </row>
    <row r="439" spans="1:9" ht="15.75">
      <c r="A439" s="25" t="s">
        <v>309</v>
      </c>
      <c r="B439" s="39" t="s">
        <v>308</v>
      </c>
      <c r="C439" s="39" t="s">
        <v>261</v>
      </c>
      <c r="D439" s="39" t="s">
        <v>268</v>
      </c>
      <c r="E439" s="39" t="s">
        <v>275</v>
      </c>
      <c r="F439" s="56">
        <f>5200-70</f>
        <v>5130</v>
      </c>
      <c r="G439" s="56">
        <f>5200-70</f>
        <v>5130</v>
      </c>
      <c r="H439" s="56">
        <v>0</v>
      </c>
      <c r="I439" s="56">
        <v>0</v>
      </c>
    </row>
    <row r="440" spans="1:9" ht="31.5">
      <c r="A440" s="38" t="s">
        <v>331</v>
      </c>
      <c r="B440" s="39" t="s">
        <v>298</v>
      </c>
      <c r="C440" s="39"/>
      <c r="D440" s="39"/>
      <c r="E440" s="39"/>
      <c r="F440" s="56">
        <f>F441+F444</f>
        <v>656500</v>
      </c>
      <c r="G440" s="56">
        <f>G441+G444</f>
        <v>656500</v>
      </c>
      <c r="H440" s="56">
        <f>H441+H444</f>
        <v>785800</v>
      </c>
      <c r="I440" s="56">
        <f>I441+I444</f>
        <v>785800</v>
      </c>
    </row>
    <row r="441" spans="1:9" ht="78.75">
      <c r="A441" s="38" t="s">
        <v>271</v>
      </c>
      <c r="B441" s="39" t="s">
        <v>298</v>
      </c>
      <c r="C441" s="39" t="s">
        <v>272</v>
      </c>
      <c r="D441" s="39"/>
      <c r="E441" s="39"/>
      <c r="F441" s="56">
        <f aca="true" t="shared" si="34" ref="F441:I442">F442</f>
        <v>652600</v>
      </c>
      <c r="G441" s="56">
        <f t="shared" si="34"/>
        <v>652600</v>
      </c>
      <c r="H441" s="56">
        <f t="shared" si="34"/>
        <v>778800</v>
      </c>
      <c r="I441" s="56">
        <f t="shared" si="34"/>
        <v>778800</v>
      </c>
    </row>
    <row r="442" spans="1:9" ht="31.5">
      <c r="A442" s="38" t="s">
        <v>58</v>
      </c>
      <c r="B442" s="39" t="s">
        <v>298</v>
      </c>
      <c r="C442" s="39" t="s">
        <v>272</v>
      </c>
      <c r="D442" s="39" t="s">
        <v>258</v>
      </c>
      <c r="E442" s="39"/>
      <c r="F442" s="56">
        <f t="shared" si="34"/>
        <v>652600</v>
      </c>
      <c r="G442" s="56">
        <f t="shared" si="34"/>
        <v>652600</v>
      </c>
      <c r="H442" s="56">
        <f t="shared" si="34"/>
        <v>778800</v>
      </c>
      <c r="I442" s="56">
        <f t="shared" si="34"/>
        <v>778800</v>
      </c>
    </row>
    <row r="443" spans="1:9" ht="15.75">
      <c r="A443" s="38" t="s">
        <v>235</v>
      </c>
      <c r="B443" s="39" t="s">
        <v>298</v>
      </c>
      <c r="C443" s="39" t="s">
        <v>272</v>
      </c>
      <c r="D443" s="39" t="s">
        <v>258</v>
      </c>
      <c r="E443" s="39" t="s">
        <v>269</v>
      </c>
      <c r="F443" s="56">
        <f>649500+3100</f>
        <v>652600</v>
      </c>
      <c r="G443" s="56">
        <f>649500+3100</f>
        <v>652600</v>
      </c>
      <c r="H443" s="56">
        <f>696300+82500</f>
        <v>778800</v>
      </c>
      <c r="I443" s="56">
        <f>696300+82500</f>
        <v>778800</v>
      </c>
    </row>
    <row r="444" spans="1:9" s="74" customFormat="1" ht="31.5">
      <c r="A444" s="22" t="s">
        <v>260</v>
      </c>
      <c r="B444" s="39" t="s">
        <v>298</v>
      </c>
      <c r="C444" s="23" t="s">
        <v>261</v>
      </c>
      <c r="D444" s="39"/>
      <c r="E444" s="39"/>
      <c r="F444" s="56">
        <f aca="true" t="shared" si="35" ref="F444:I445">F445</f>
        <v>3900</v>
      </c>
      <c r="G444" s="56">
        <f t="shared" si="35"/>
        <v>3900</v>
      </c>
      <c r="H444" s="56">
        <f t="shared" si="35"/>
        <v>7000</v>
      </c>
      <c r="I444" s="56">
        <f t="shared" si="35"/>
        <v>7000</v>
      </c>
    </row>
    <row r="445" spans="1:9" s="74" customFormat="1" ht="31.5">
      <c r="A445" s="38" t="s">
        <v>58</v>
      </c>
      <c r="B445" s="39" t="s">
        <v>298</v>
      </c>
      <c r="C445" s="23" t="s">
        <v>261</v>
      </c>
      <c r="D445" s="39" t="s">
        <v>258</v>
      </c>
      <c r="E445" s="39"/>
      <c r="F445" s="56">
        <f t="shared" si="35"/>
        <v>3900</v>
      </c>
      <c r="G445" s="56">
        <f t="shared" si="35"/>
        <v>3900</v>
      </c>
      <c r="H445" s="56">
        <f t="shared" si="35"/>
        <v>7000</v>
      </c>
      <c r="I445" s="56">
        <f t="shared" si="35"/>
        <v>7000</v>
      </c>
    </row>
    <row r="446" spans="1:9" s="74" customFormat="1" ht="15.75">
      <c r="A446" s="38" t="s">
        <v>235</v>
      </c>
      <c r="B446" s="39" t="s">
        <v>298</v>
      </c>
      <c r="C446" s="23" t="s">
        <v>261</v>
      </c>
      <c r="D446" s="39" t="s">
        <v>258</v>
      </c>
      <c r="E446" s="39" t="s">
        <v>269</v>
      </c>
      <c r="F446" s="56">
        <v>3900</v>
      </c>
      <c r="G446" s="56">
        <v>3900</v>
      </c>
      <c r="H446" s="56">
        <v>7000</v>
      </c>
      <c r="I446" s="56">
        <v>7000</v>
      </c>
    </row>
    <row r="447" spans="1:9" ht="126">
      <c r="A447" s="38" t="s">
        <v>236</v>
      </c>
      <c r="B447" s="39" t="s">
        <v>106</v>
      </c>
      <c r="C447" s="39"/>
      <c r="D447" s="39"/>
      <c r="E447" s="39"/>
      <c r="F447" s="56">
        <f aca="true" t="shared" si="36" ref="F447:I449">F448</f>
        <v>6000</v>
      </c>
      <c r="G447" s="56">
        <f t="shared" si="36"/>
        <v>6000</v>
      </c>
      <c r="H447" s="56">
        <f t="shared" si="36"/>
        <v>6000</v>
      </c>
      <c r="I447" s="56">
        <f t="shared" si="36"/>
        <v>6000</v>
      </c>
    </row>
    <row r="448" spans="1:9" ht="31.5">
      <c r="A448" s="22" t="s">
        <v>260</v>
      </c>
      <c r="B448" s="39" t="s">
        <v>106</v>
      </c>
      <c r="C448" s="39" t="s">
        <v>261</v>
      </c>
      <c r="D448" s="39"/>
      <c r="E448" s="39"/>
      <c r="F448" s="56">
        <f t="shared" si="36"/>
        <v>6000</v>
      </c>
      <c r="G448" s="56">
        <f t="shared" si="36"/>
        <v>6000</v>
      </c>
      <c r="H448" s="56">
        <f t="shared" si="36"/>
        <v>6000</v>
      </c>
      <c r="I448" s="56">
        <f t="shared" si="36"/>
        <v>6000</v>
      </c>
    </row>
    <row r="449" spans="1:9" ht="15.75">
      <c r="A449" s="38" t="s">
        <v>53</v>
      </c>
      <c r="B449" s="39" t="s">
        <v>106</v>
      </c>
      <c r="C449" s="39" t="s">
        <v>261</v>
      </c>
      <c r="D449" s="39" t="s">
        <v>268</v>
      </c>
      <c r="E449" s="39"/>
      <c r="F449" s="56">
        <f t="shared" si="36"/>
        <v>6000</v>
      </c>
      <c r="G449" s="56">
        <f t="shared" si="36"/>
        <v>6000</v>
      </c>
      <c r="H449" s="56">
        <f t="shared" si="36"/>
        <v>6000</v>
      </c>
      <c r="I449" s="56">
        <f t="shared" si="36"/>
        <v>6000</v>
      </c>
    </row>
    <row r="450" spans="1:9" ht="15.75">
      <c r="A450" s="38" t="s">
        <v>54</v>
      </c>
      <c r="B450" s="39" t="s">
        <v>106</v>
      </c>
      <c r="C450" s="39" t="s">
        <v>261</v>
      </c>
      <c r="D450" s="39" t="s">
        <v>268</v>
      </c>
      <c r="E450" s="39" t="s">
        <v>55</v>
      </c>
      <c r="F450" s="56">
        <v>6000</v>
      </c>
      <c r="G450" s="56">
        <v>6000</v>
      </c>
      <c r="H450" s="56">
        <v>6000</v>
      </c>
      <c r="I450" s="56">
        <v>6000</v>
      </c>
    </row>
    <row r="451" spans="1:9" ht="31.5">
      <c r="A451" s="38" t="s">
        <v>237</v>
      </c>
      <c r="B451" s="39" t="s">
        <v>107</v>
      </c>
      <c r="C451" s="39"/>
      <c r="D451" s="39"/>
      <c r="E451" s="39"/>
      <c r="F451" s="56">
        <f aca="true" t="shared" si="37" ref="F451:I453">F452</f>
        <v>82500</v>
      </c>
      <c r="G451" s="56">
        <f t="shared" si="37"/>
        <v>82500</v>
      </c>
      <c r="H451" s="56">
        <f t="shared" si="37"/>
        <v>82500</v>
      </c>
      <c r="I451" s="56">
        <f t="shared" si="37"/>
        <v>82500</v>
      </c>
    </row>
    <row r="452" spans="1:9" ht="78.75">
      <c r="A452" s="38" t="s">
        <v>271</v>
      </c>
      <c r="B452" s="39" t="s">
        <v>107</v>
      </c>
      <c r="C452" s="39" t="s">
        <v>272</v>
      </c>
      <c r="D452" s="39"/>
      <c r="E452" s="39"/>
      <c r="F452" s="56">
        <f t="shared" si="37"/>
        <v>82500</v>
      </c>
      <c r="G452" s="56">
        <f t="shared" si="37"/>
        <v>82500</v>
      </c>
      <c r="H452" s="56">
        <f t="shared" si="37"/>
        <v>82500</v>
      </c>
      <c r="I452" s="56">
        <f t="shared" si="37"/>
        <v>82500</v>
      </c>
    </row>
    <row r="453" spans="1:9" ht="15.75">
      <c r="A453" s="38" t="s">
        <v>53</v>
      </c>
      <c r="B453" s="39" t="s">
        <v>107</v>
      </c>
      <c r="C453" s="39" t="s">
        <v>272</v>
      </c>
      <c r="D453" s="39" t="s">
        <v>268</v>
      </c>
      <c r="E453" s="39"/>
      <c r="F453" s="56">
        <f t="shared" si="37"/>
        <v>82500</v>
      </c>
      <c r="G453" s="56">
        <f t="shared" si="37"/>
        <v>82500</v>
      </c>
      <c r="H453" s="56">
        <f t="shared" si="37"/>
        <v>82500</v>
      </c>
      <c r="I453" s="56">
        <f t="shared" si="37"/>
        <v>82500</v>
      </c>
    </row>
    <row r="454" spans="1:9" ht="15.75">
      <c r="A454" s="38" t="s">
        <v>54</v>
      </c>
      <c r="B454" s="39" t="s">
        <v>107</v>
      </c>
      <c r="C454" s="39" t="s">
        <v>272</v>
      </c>
      <c r="D454" s="39" t="s">
        <v>268</v>
      </c>
      <c r="E454" s="39" t="s">
        <v>55</v>
      </c>
      <c r="F454" s="56">
        <f>75000+7500</f>
        <v>82500</v>
      </c>
      <c r="G454" s="56">
        <f>75000+7500</f>
        <v>82500</v>
      </c>
      <c r="H454" s="56">
        <f>75000+7500</f>
        <v>82500</v>
      </c>
      <c r="I454" s="56">
        <f>75000+7500</f>
        <v>82500</v>
      </c>
    </row>
    <row r="455" spans="1:9" ht="47.25">
      <c r="A455" s="38" t="s">
        <v>115</v>
      </c>
      <c r="B455" s="39" t="s">
        <v>108</v>
      </c>
      <c r="C455" s="39"/>
      <c r="D455" s="39"/>
      <c r="E455" s="39"/>
      <c r="F455" s="56">
        <f>F456+F459</f>
        <v>881000</v>
      </c>
      <c r="G455" s="56">
        <f>G456+G459</f>
        <v>881000</v>
      </c>
      <c r="H455" s="56">
        <f>H456+H459</f>
        <v>881000</v>
      </c>
      <c r="I455" s="56">
        <f>I456+I459</f>
        <v>881000</v>
      </c>
    </row>
    <row r="456" spans="1:9" ht="78.75">
      <c r="A456" s="38" t="s">
        <v>271</v>
      </c>
      <c r="B456" s="39" t="s">
        <v>108</v>
      </c>
      <c r="C456" s="39" t="s">
        <v>272</v>
      </c>
      <c r="D456" s="39"/>
      <c r="E456" s="39"/>
      <c r="F456" s="56">
        <f aca="true" t="shared" si="38" ref="F456:I457">F457</f>
        <v>779400</v>
      </c>
      <c r="G456" s="56">
        <f t="shared" si="38"/>
        <v>779400</v>
      </c>
      <c r="H456" s="56">
        <f t="shared" si="38"/>
        <v>779400</v>
      </c>
      <c r="I456" s="56">
        <f t="shared" si="38"/>
        <v>779400</v>
      </c>
    </row>
    <row r="457" spans="1:9" s="11" customFormat="1" ht="18.75" customHeight="1">
      <c r="A457" s="38" t="s">
        <v>264</v>
      </c>
      <c r="B457" s="39" t="s">
        <v>108</v>
      </c>
      <c r="C457" s="39" t="s">
        <v>272</v>
      </c>
      <c r="D457" s="39" t="s">
        <v>265</v>
      </c>
      <c r="E457" s="39"/>
      <c r="F457" s="56">
        <f t="shared" si="38"/>
        <v>779400</v>
      </c>
      <c r="G457" s="56">
        <f t="shared" si="38"/>
        <v>779400</v>
      </c>
      <c r="H457" s="56">
        <f t="shared" si="38"/>
        <v>779400</v>
      </c>
      <c r="I457" s="56">
        <f t="shared" si="38"/>
        <v>779400</v>
      </c>
    </row>
    <row r="458" spans="1:9" s="11" customFormat="1" ht="15.75">
      <c r="A458" s="38" t="s">
        <v>1</v>
      </c>
      <c r="B458" s="39" t="s">
        <v>108</v>
      </c>
      <c r="C458" s="39" t="s">
        <v>272</v>
      </c>
      <c r="D458" s="39" t="s">
        <v>265</v>
      </c>
      <c r="E458" s="39" t="s">
        <v>269</v>
      </c>
      <c r="F458" s="56">
        <v>779400</v>
      </c>
      <c r="G458" s="56">
        <v>779400</v>
      </c>
      <c r="H458" s="56">
        <v>779400</v>
      </c>
      <c r="I458" s="56">
        <v>779400</v>
      </c>
    </row>
    <row r="459" spans="1:9" ht="31.5">
      <c r="A459" s="22" t="s">
        <v>260</v>
      </c>
      <c r="B459" s="39" t="s">
        <v>108</v>
      </c>
      <c r="C459" s="39" t="s">
        <v>261</v>
      </c>
      <c r="D459" s="39"/>
      <c r="E459" s="39"/>
      <c r="F459" s="56">
        <f aca="true" t="shared" si="39" ref="F459:I460">F460</f>
        <v>101600</v>
      </c>
      <c r="G459" s="56">
        <f t="shared" si="39"/>
        <v>101600</v>
      </c>
      <c r="H459" s="56">
        <f t="shared" si="39"/>
        <v>101600</v>
      </c>
      <c r="I459" s="56">
        <f t="shared" si="39"/>
        <v>101600</v>
      </c>
    </row>
    <row r="460" spans="1:9" ht="15.75">
      <c r="A460" s="38" t="s">
        <v>264</v>
      </c>
      <c r="B460" s="39" t="s">
        <v>108</v>
      </c>
      <c r="C460" s="39" t="s">
        <v>261</v>
      </c>
      <c r="D460" s="39" t="s">
        <v>265</v>
      </c>
      <c r="E460" s="39"/>
      <c r="F460" s="56">
        <f t="shared" si="39"/>
        <v>101600</v>
      </c>
      <c r="G460" s="56">
        <f t="shared" si="39"/>
        <v>101600</v>
      </c>
      <c r="H460" s="56">
        <f t="shared" si="39"/>
        <v>101600</v>
      </c>
      <c r="I460" s="56">
        <f t="shared" si="39"/>
        <v>101600</v>
      </c>
    </row>
    <row r="461" spans="1:9" ht="15.75">
      <c r="A461" s="38" t="s">
        <v>1</v>
      </c>
      <c r="B461" s="39" t="s">
        <v>108</v>
      </c>
      <c r="C461" s="39" t="s">
        <v>261</v>
      </c>
      <c r="D461" s="39" t="s">
        <v>265</v>
      </c>
      <c r="E461" s="39" t="s">
        <v>269</v>
      </c>
      <c r="F461" s="56">
        <v>101600</v>
      </c>
      <c r="G461" s="56">
        <v>101600</v>
      </c>
      <c r="H461" s="56">
        <v>101600</v>
      </c>
      <c r="I461" s="56">
        <v>101600</v>
      </c>
    </row>
    <row r="462" spans="1:9" ht="15.75">
      <c r="A462" s="19" t="s">
        <v>282</v>
      </c>
      <c r="B462" s="18" t="s">
        <v>290</v>
      </c>
      <c r="C462" s="18"/>
      <c r="D462" s="18"/>
      <c r="E462" s="18"/>
      <c r="F462" s="59">
        <f>F463</f>
        <v>5862500</v>
      </c>
      <c r="G462" s="59">
        <v>0</v>
      </c>
      <c r="H462" s="59">
        <f>H463</f>
        <v>5862500</v>
      </c>
      <c r="I462" s="59">
        <v>0</v>
      </c>
    </row>
    <row r="463" spans="1:9" ht="31.5">
      <c r="A463" s="19" t="s">
        <v>283</v>
      </c>
      <c r="B463" s="18" t="s">
        <v>291</v>
      </c>
      <c r="C463" s="18"/>
      <c r="D463" s="18"/>
      <c r="E463" s="18"/>
      <c r="F463" s="59">
        <f>F464+F468+F472+F476+F480</f>
        <v>5862500</v>
      </c>
      <c r="G463" s="59">
        <v>0</v>
      </c>
      <c r="H463" s="59">
        <f>H464+H468+H472+H476+H480</f>
        <v>5862500</v>
      </c>
      <c r="I463" s="59">
        <v>0</v>
      </c>
    </row>
    <row r="464" spans="1:9" ht="31.5">
      <c r="A464" s="38" t="s">
        <v>277</v>
      </c>
      <c r="B464" s="39" t="s">
        <v>286</v>
      </c>
      <c r="C464" s="39"/>
      <c r="D464" s="39"/>
      <c r="E464" s="39"/>
      <c r="F464" s="56">
        <f>F465</f>
        <v>1968300</v>
      </c>
      <c r="G464" s="56">
        <v>0</v>
      </c>
      <c r="H464" s="56">
        <v>1968300</v>
      </c>
      <c r="I464" s="56">
        <v>0</v>
      </c>
    </row>
    <row r="465" spans="1:9" ht="78.75">
      <c r="A465" s="38" t="s">
        <v>271</v>
      </c>
      <c r="B465" s="39" t="s">
        <v>286</v>
      </c>
      <c r="C465" s="39" t="s">
        <v>272</v>
      </c>
      <c r="D465" s="39"/>
      <c r="E465" s="39"/>
      <c r="F465" s="56">
        <f>F466</f>
        <v>1968300</v>
      </c>
      <c r="G465" s="56">
        <v>0</v>
      </c>
      <c r="H465" s="56">
        <v>1968300</v>
      </c>
      <c r="I465" s="56">
        <v>0</v>
      </c>
    </row>
    <row r="466" spans="1:9" ht="15.75">
      <c r="A466" s="38" t="s">
        <v>53</v>
      </c>
      <c r="B466" s="39" t="s">
        <v>286</v>
      </c>
      <c r="C466" s="39" t="s">
        <v>272</v>
      </c>
      <c r="D466" s="39" t="s">
        <v>268</v>
      </c>
      <c r="E466" s="39"/>
      <c r="F466" s="56">
        <f>F467</f>
        <v>1968300</v>
      </c>
      <c r="G466" s="56">
        <v>0</v>
      </c>
      <c r="H466" s="56">
        <v>1968300</v>
      </c>
      <c r="I466" s="56">
        <v>0</v>
      </c>
    </row>
    <row r="467" spans="1:9" ht="47.25">
      <c r="A467" s="38" t="s">
        <v>239</v>
      </c>
      <c r="B467" s="39" t="s">
        <v>286</v>
      </c>
      <c r="C467" s="39" t="s">
        <v>272</v>
      </c>
      <c r="D467" s="39" t="s">
        <v>268</v>
      </c>
      <c r="E467" s="39" t="s">
        <v>257</v>
      </c>
      <c r="F467" s="56">
        <v>1968300</v>
      </c>
      <c r="G467" s="56">
        <v>0</v>
      </c>
      <c r="H467" s="56">
        <v>1968300</v>
      </c>
      <c r="I467" s="56">
        <v>0</v>
      </c>
    </row>
    <row r="468" spans="1:9" ht="47.25">
      <c r="A468" s="38" t="s">
        <v>87</v>
      </c>
      <c r="B468" s="39" t="s">
        <v>287</v>
      </c>
      <c r="C468" s="39"/>
      <c r="D468" s="39"/>
      <c r="E468" s="39"/>
      <c r="F468" s="56">
        <f>F469</f>
        <v>1482300</v>
      </c>
      <c r="G468" s="56">
        <v>0</v>
      </c>
      <c r="H468" s="56">
        <v>1482300</v>
      </c>
      <c r="I468" s="56">
        <v>0</v>
      </c>
    </row>
    <row r="469" spans="1:9" ht="78.75">
      <c r="A469" s="38" t="s">
        <v>271</v>
      </c>
      <c r="B469" s="39" t="s">
        <v>287</v>
      </c>
      <c r="C469" s="39" t="s">
        <v>272</v>
      </c>
      <c r="D469" s="39"/>
      <c r="E469" s="39"/>
      <c r="F469" s="56">
        <f>F470</f>
        <v>1482300</v>
      </c>
      <c r="G469" s="56">
        <v>0</v>
      </c>
      <c r="H469" s="56">
        <v>1482300</v>
      </c>
      <c r="I469" s="56">
        <v>0</v>
      </c>
    </row>
    <row r="470" spans="1:9" ht="15.75">
      <c r="A470" s="38" t="s">
        <v>53</v>
      </c>
      <c r="B470" s="39" t="s">
        <v>287</v>
      </c>
      <c r="C470" s="39" t="s">
        <v>272</v>
      </c>
      <c r="D470" s="39" t="s">
        <v>268</v>
      </c>
      <c r="E470" s="39"/>
      <c r="F470" s="56">
        <f>F471</f>
        <v>1482300</v>
      </c>
      <c r="G470" s="56">
        <v>0</v>
      </c>
      <c r="H470" s="56">
        <v>1482300</v>
      </c>
      <c r="I470" s="56">
        <v>0</v>
      </c>
    </row>
    <row r="471" spans="1:9" ht="63">
      <c r="A471" s="38" t="s">
        <v>238</v>
      </c>
      <c r="B471" s="39" t="s">
        <v>287</v>
      </c>
      <c r="C471" s="39" t="s">
        <v>272</v>
      </c>
      <c r="D471" s="39" t="s">
        <v>268</v>
      </c>
      <c r="E471" s="39" t="s">
        <v>258</v>
      </c>
      <c r="F471" s="56">
        <v>1482300</v>
      </c>
      <c r="G471" s="56">
        <v>0</v>
      </c>
      <c r="H471" s="56">
        <v>1482300</v>
      </c>
      <c r="I471" s="56">
        <v>0</v>
      </c>
    </row>
    <row r="472" spans="1:9" ht="31.5">
      <c r="A472" s="38" t="s">
        <v>127</v>
      </c>
      <c r="B472" s="39" t="s">
        <v>288</v>
      </c>
      <c r="C472" s="39"/>
      <c r="D472" s="39"/>
      <c r="E472" s="39"/>
      <c r="F472" s="56">
        <f>F473</f>
        <v>2102600</v>
      </c>
      <c r="G472" s="56">
        <v>0</v>
      </c>
      <c r="H472" s="56">
        <f>H473</f>
        <v>2102600</v>
      </c>
      <c r="I472" s="56">
        <v>0</v>
      </c>
    </row>
    <row r="473" spans="1:9" ht="78.75">
      <c r="A473" s="38" t="s">
        <v>271</v>
      </c>
      <c r="B473" s="39" t="s">
        <v>288</v>
      </c>
      <c r="C473" s="39" t="s">
        <v>272</v>
      </c>
      <c r="D473" s="39"/>
      <c r="E473" s="39"/>
      <c r="F473" s="56">
        <f>F474</f>
        <v>2102600</v>
      </c>
      <c r="G473" s="56">
        <v>0</v>
      </c>
      <c r="H473" s="56">
        <f>H474</f>
        <v>2102600</v>
      </c>
      <c r="I473" s="56">
        <v>0</v>
      </c>
    </row>
    <row r="474" spans="1:9" ht="15.75">
      <c r="A474" s="38" t="s">
        <v>53</v>
      </c>
      <c r="B474" s="39" t="s">
        <v>288</v>
      </c>
      <c r="C474" s="39" t="s">
        <v>272</v>
      </c>
      <c r="D474" s="39" t="s">
        <v>268</v>
      </c>
      <c r="E474" s="39"/>
      <c r="F474" s="56">
        <f>F475</f>
        <v>2102600</v>
      </c>
      <c r="G474" s="56">
        <v>0</v>
      </c>
      <c r="H474" s="56">
        <f>H475</f>
        <v>2102600</v>
      </c>
      <c r="I474" s="56">
        <v>0</v>
      </c>
    </row>
    <row r="475" spans="1:9" ht="66" customHeight="1">
      <c r="A475" s="38" t="s">
        <v>238</v>
      </c>
      <c r="B475" s="39" t="s">
        <v>288</v>
      </c>
      <c r="C475" s="39" t="s">
        <v>272</v>
      </c>
      <c r="D475" s="39" t="s">
        <v>268</v>
      </c>
      <c r="E475" s="39" t="s">
        <v>258</v>
      </c>
      <c r="F475" s="56">
        <f>2157600-55000</f>
        <v>2102600</v>
      </c>
      <c r="G475" s="56">
        <v>0</v>
      </c>
      <c r="H475" s="56">
        <f>2157600-55000</f>
        <v>2102600</v>
      </c>
      <c r="I475" s="56">
        <v>0</v>
      </c>
    </row>
    <row r="476" spans="1:9" ht="40.5" customHeight="1">
      <c r="A476" s="38" t="s">
        <v>90</v>
      </c>
      <c r="B476" s="39" t="s">
        <v>289</v>
      </c>
      <c r="C476" s="39"/>
      <c r="D476" s="39"/>
      <c r="E476" s="39"/>
      <c r="F476" s="56">
        <f>F477</f>
        <v>254300</v>
      </c>
      <c r="G476" s="56">
        <v>0</v>
      </c>
      <c r="H476" s="56">
        <f>H477</f>
        <v>254300</v>
      </c>
      <c r="I476" s="56">
        <v>0</v>
      </c>
    </row>
    <row r="477" spans="1:9" ht="35.25" customHeight="1">
      <c r="A477" s="22" t="s">
        <v>260</v>
      </c>
      <c r="B477" s="39" t="s">
        <v>289</v>
      </c>
      <c r="C477" s="39" t="s">
        <v>261</v>
      </c>
      <c r="D477" s="39"/>
      <c r="E477" s="39"/>
      <c r="F477" s="56">
        <f>F478</f>
        <v>254300</v>
      </c>
      <c r="G477" s="56">
        <v>0</v>
      </c>
      <c r="H477" s="56">
        <f>H478</f>
        <v>254300</v>
      </c>
      <c r="I477" s="56">
        <v>0</v>
      </c>
    </row>
    <row r="478" spans="1:9" ht="15.75">
      <c r="A478" s="38" t="s">
        <v>53</v>
      </c>
      <c r="B478" s="39" t="s">
        <v>289</v>
      </c>
      <c r="C478" s="39" t="s">
        <v>261</v>
      </c>
      <c r="D478" s="39" t="s">
        <v>268</v>
      </c>
      <c r="E478" s="39"/>
      <c r="F478" s="56">
        <f>F479</f>
        <v>254300</v>
      </c>
      <c r="G478" s="56">
        <v>0</v>
      </c>
      <c r="H478" s="56">
        <f>H479</f>
        <v>254300</v>
      </c>
      <c r="I478" s="56">
        <v>0</v>
      </c>
    </row>
    <row r="479" spans="1:9" ht="63">
      <c r="A479" s="38" t="s">
        <v>238</v>
      </c>
      <c r="B479" s="39" t="s">
        <v>289</v>
      </c>
      <c r="C479" s="39" t="s">
        <v>261</v>
      </c>
      <c r="D479" s="39" t="s">
        <v>268</v>
      </c>
      <c r="E479" s="39" t="s">
        <v>258</v>
      </c>
      <c r="F479" s="56">
        <v>254300</v>
      </c>
      <c r="G479" s="56">
        <v>0</v>
      </c>
      <c r="H479" s="56">
        <v>254300</v>
      </c>
      <c r="I479" s="56">
        <v>0</v>
      </c>
    </row>
    <row r="480" spans="1:9" ht="63">
      <c r="A480" s="25" t="s">
        <v>323</v>
      </c>
      <c r="B480" s="21" t="s">
        <v>326</v>
      </c>
      <c r="C480" s="31"/>
      <c r="D480" s="31"/>
      <c r="E480" s="31"/>
      <c r="F480" s="44">
        <f>F481</f>
        <v>55000</v>
      </c>
      <c r="G480" s="56">
        <v>0</v>
      </c>
      <c r="H480" s="44">
        <f>H481</f>
        <v>55000</v>
      </c>
      <c r="I480" s="56">
        <v>0</v>
      </c>
    </row>
    <row r="481" spans="1:9" ht="78.75">
      <c r="A481" s="25" t="s">
        <v>271</v>
      </c>
      <c r="B481" s="21" t="s">
        <v>326</v>
      </c>
      <c r="C481" s="31" t="s">
        <v>272</v>
      </c>
      <c r="D481" s="31"/>
      <c r="E481" s="31"/>
      <c r="F481" s="44">
        <f>F482</f>
        <v>55000</v>
      </c>
      <c r="G481" s="56">
        <v>0</v>
      </c>
      <c r="H481" s="44">
        <f>H482</f>
        <v>55000</v>
      </c>
      <c r="I481" s="56">
        <v>0</v>
      </c>
    </row>
    <row r="482" spans="1:9" ht="15.75">
      <c r="A482" s="20" t="s">
        <v>53</v>
      </c>
      <c r="B482" s="21" t="s">
        <v>326</v>
      </c>
      <c r="C482" s="31" t="s">
        <v>272</v>
      </c>
      <c r="D482" s="31" t="s">
        <v>268</v>
      </c>
      <c r="E482" s="31"/>
      <c r="F482" s="44">
        <f>F483</f>
        <v>55000</v>
      </c>
      <c r="G482" s="56">
        <v>0</v>
      </c>
      <c r="H482" s="44">
        <f>H483</f>
        <v>55000</v>
      </c>
      <c r="I482" s="56">
        <v>0</v>
      </c>
    </row>
    <row r="483" spans="1:9" ht="63">
      <c r="A483" s="20" t="s">
        <v>238</v>
      </c>
      <c r="B483" s="21" t="s">
        <v>326</v>
      </c>
      <c r="C483" s="31" t="s">
        <v>272</v>
      </c>
      <c r="D483" s="31" t="s">
        <v>268</v>
      </c>
      <c r="E483" s="31" t="s">
        <v>258</v>
      </c>
      <c r="F483" s="44">
        <v>55000</v>
      </c>
      <c r="G483" s="56">
        <v>0</v>
      </c>
      <c r="H483" s="44">
        <v>55000</v>
      </c>
      <c r="I483" s="56">
        <v>0</v>
      </c>
    </row>
    <row r="484" spans="1:9" ht="33" customHeight="1">
      <c r="A484" s="73" t="s">
        <v>242</v>
      </c>
      <c r="B484" s="40" t="s">
        <v>243</v>
      </c>
      <c r="C484" s="40" t="s">
        <v>243</v>
      </c>
      <c r="D484" s="40" t="s">
        <v>243</v>
      </c>
      <c r="E484" s="40" t="s">
        <v>243</v>
      </c>
      <c r="F484" s="59">
        <f>F10+F125+F184+F199+F229+F270+F305+F314+F329+F340+F354+F373+F392+F462</f>
        <v>377126548</v>
      </c>
      <c r="G484" s="59">
        <f>G10+G125+G184+G199+G229+G270+G305+G314+G329+G340+G354+G373+G392</f>
        <v>127534268</v>
      </c>
      <c r="H484" s="59">
        <f>H10+H125+H184+H199+H229+H270+H305+H314+H329+H340+H354+H373+H392+H462</f>
        <v>366368178</v>
      </c>
      <c r="I484" s="59">
        <f>I10+I125+I184+I199+I229+I270+I305+I314+I329+I340+I354+I373+I392</f>
        <v>135284798</v>
      </c>
    </row>
    <row r="486" spans="6:8" ht="12.75">
      <c r="F486" s="63"/>
      <c r="H486" s="41"/>
    </row>
    <row r="487" spans="6:8" ht="12.75">
      <c r="F487" s="63"/>
      <c r="H487" s="63"/>
    </row>
    <row r="489" ht="12.75">
      <c r="H489" s="51" t="s">
        <v>310</v>
      </c>
    </row>
  </sheetData>
  <sheetProtection/>
  <mergeCells count="12">
    <mergeCell ref="D8:D9"/>
    <mergeCell ref="E8:E9"/>
    <mergeCell ref="F8:G8"/>
    <mergeCell ref="H8:I8"/>
    <mergeCell ref="H1:I1"/>
    <mergeCell ref="G2:I2"/>
    <mergeCell ref="G3:I3"/>
    <mergeCell ref="H4:I4"/>
    <mergeCell ref="A5:I5"/>
    <mergeCell ref="A8:A9"/>
    <mergeCell ref="B8:B9"/>
    <mergeCell ref="C8:C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2015-12-28T08:34:37Z</dcterms:modified>
  <cp:category/>
  <cp:version/>
  <cp:contentType/>
  <cp:contentStatus/>
</cp:coreProperties>
</file>