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стр.расходов Прил.1" sheetId="4" r:id="rId1"/>
  </sheets>
  <calcPr calcId="145621"/>
</workbook>
</file>

<file path=xl/calcChain.xml><?xml version="1.0" encoding="utf-8"?>
<calcChain xmlns="http://schemas.openxmlformats.org/spreadsheetml/2006/main">
  <c r="M53" i="4" l="1"/>
  <c r="J53" i="4"/>
  <c r="M52" i="4"/>
  <c r="L52" i="4"/>
  <c r="J52" i="4"/>
  <c r="I52" i="4"/>
  <c r="F52" i="4"/>
  <c r="E52" i="4"/>
  <c r="G52" i="4" s="1"/>
  <c r="D52" i="4"/>
  <c r="N51" i="4"/>
  <c r="M51" i="4"/>
  <c r="K51" i="4"/>
  <c r="J51" i="4"/>
  <c r="H51" i="4"/>
  <c r="G51" i="4"/>
  <c r="N50" i="4"/>
  <c r="L50" i="4"/>
  <c r="J50" i="4"/>
  <c r="I50" i="4"/>
  <c r="H50" i="4"/>
  <c r="F50" i="4"/>
  <c r="E50" i="4"/>
  <c r="D50" i="4"/>
  <c r="N49" i="4"/>
  <c r="M49" i="4"/>
  <c r="K49" i="4"/>
  <c r="J49" i="4"/>
  <c r="H49" i="4"/>
  <c r="G49" i="4"/>
  <c r="N48" i="4"/>
  <c r="M48" i="4"/>
  <c r="K48" i="4"/>
  <c r="J48" i="4"/>
  <c r="H48" i="4"/>
  <c r="G48" i="4"/>
  <c r="M47" i="4"/>
  <c r="L47" i="4"/>
  <c r="K47" i="4"/>
  <c r="I47" i="4"/>
  <c r="F47" i="4"/>
  <c r="E47" i="4"/>
  <c r="D47" i="4"/>
  <c r="N46" i="4"/>
  <c r="M46" i="4"/>
  <c r="K46" i="4"/>
  <c r="J46" i="4"/>
  <c r="H46" i="4"/>
  <c r="E46" i="4"/>
  <c r="N45" i="4"/>
  <c r="M45" i="4"/>
  <c r="K45" i="4"/>
  <c r="J45" i="4"/>
  <c r="G45" i="4"/>
  <c r="E45" i="4"/>
  <c r="H45" i="4" s="1"/>
  <c r="N44" i="4"/>
  <c r="M44" i="4"/>
  <c r="K44" i="4"/>
  <c r="J44" i="4"/>
  <c r="H44" i="4"/>
  <c r="G44" i="4"/>
  <c r="N43" i="4"/>
  <c r="L43" i="4"/>
  <c r="M43" i="4" s="1"/>
  <c r="J43" i="4"/>
  <c r="I43" i="4"/>
  <c r="F43" i="4"/>
  <c r="D43" i="4"/>
  <c r="N42" i="4"/>
  <c r="M42" i="4"/>
  <c r="J42" i="4"/>
  <c r="F42" i="4"/>
  <c r="K42" i="4" s="1"/>
  <c r="E42" i="4"/>
  <c r="E41" i="4" s="1"/>
  <c r="G41" i="4" s="1"/>
  <c r="L41" i="4"/>
  <c r="I41" i="4"/>
  <c r="J41" i="4" s="1"/>
  <c r="F41" i="4"/>
  <c r="D41" i="4"/>
  <c r="N40" i="4"/>
  <c r="M40" i="4"/>
  <c r="H40" i="4"/>
  <c r="F40" i="4"/>
  <c r="E40" i="4"/>
  <c r="N39" i="4"/>
  <c r="M39" i="4"/>
  <c r="K39" i="4"/>
  <c r="J39" i="4"/>
  <c r="H39" i="4"/>
  <c r="G39" i="4"/>
  <c r="N38" i="4"/>
  <c r="M38" i="4"/>
  <c r="K38" i="4"/>
  <c r="J38" i="4"/>
  <c r="E38" i="4"/>
  <c r="G38" i="4" s="1"/>
  <c r="N37" i="4"/>
  <c r="M37" i="4"/>
  <c r="K37" i="4"/>
  <c r="J37" i="4"/>
  <c r="G37" i="4"/>
  <c r="E37" i="4"/>
  <c r="H37" i="4" s="1"/>
  <c r="N36" i="4"/>
  <c r="M36" i="4"/>
  <c r="K36" i="4"/>
  <c r="J36" i="4"/>
  <c r="E36" i="4"/>
  <c r="G36" i="4" s="1"/>
  <c r="L35" i="4"/>
  <c r="I35" i="4"/>
  <c r="E35" i="4"/>
  <c r="D35" i="4"/>
  <c r="N34" i="4"/>
  <c r="M34" i="4"/>
  <c r="K34" i="4"/>
  <c r="J34" i="4"/>
  <c r="H34" i="4"/>
  <c r="G34" i="4"/>
  <c r="N33" i="4"/>
  <c r="L33" i="4"/>
  <c r="M33" i="4" s="1"/>
  <c r="J33" i="4"/>
  <c r="I33" i="4"/>
  <c r="H33" i="4"/>
  <c r="F33" i="4"/>
  <c r="G33" i="4" s="1"/>
  <c r="E33" i="4"/>
  <c r="D33" i="4"/>
  <c r="M32" i="4"/>
  <c r="L32" i="4"/>
  <c r="K32" i="4"/>
  <c r="I32" i="4"/>
  <c r="F32" i="4"/>
  <c r="E32" i="4"/>
  <c r="G32" i="4" s="1"/>
  <c r="N31" i="4"/>
  <c r="M31" i="4"/>
  <c r="K31" i="4"/>
  <c r="J31" i="4"/>
  <c r="H31" i="4"/>
  <c r="G31" i="4"/>
  <c r="N30" i="4"/>
  <c r="M30" i="4"/>
  <c r="J30" i="4"/>
  <c r="F30" i="4"/>
  <c r="K30" i="4" s="1"/>
  <c r="E30" i="4"/>
  <c r="E28" i="4" s="1"/>
  <c r="N29" i="4"/>
  <c r="M29" i="4"/>
  <c r="K29" i="4"/>
  <c r="J29" i="4"/>
  <c r="G29" i="4"/>
  <c r="E29" i="4"/>
  <c r="H29" i="4" s="1"/>
  <c r="L28" i="4"/>
  <c r="H28" i="4"/>
  <c r="F28" i="4"/>
  <c r="D28" i="4"/>
  <c r="N27" i="4"/>
  <c r="M27" i="4"/>
  <c r="K27" i="4"/>
  <c r="J27" i="4"/>
  <c r="H27" i="4"/>
  <c r="G27" i="4"/>
  <c r="N26" i="4"/>
  <c r="M26" i="4"/>
  <c r="K26" i="4"/>
  <c r="J26" i="4"/>
  <c r="H26" i="4"/>
  <c r="G26" i="4"/>
  <c r="N25" i="4"/>
  <c r="M25" i="4"/>
  <c r="K25" i="4"/>
  <c r="J25" i="4"/>
  <c r="H25" i="4"/>
  <c r="G25" i="4"/>
  <c r="N24" i="4"/>
  <c r="M24" i="4"/>
  <c r="K24" i="4"/>
  <c r="J24" i="4"/>
  <c r="H24" i="4"/>
  <c r="G24" i="4"/>
  <c r="L23" i="4"/>
  <c r="I23" i="4"/>
  <c r="J23" i="4" s="1"/>
  <c r="F23" i="4"/>
  <c r="H23" i="4" s="1"/>
  <c r="E23" i="4"/>
  <c r="G23" i="4" s="1"/>
  <c r="D23" i="4"/>
  <c r="N22" i="4"/>
  <c r="M22" i="4"/>
  <c r="K22" i="4"/>
  <c r="J22" i="4"/>
  <c r="H22" i="4"/>
  <c r="G22" i="4"/>
  <c r="L21" i="4"/>
  <c r="I21" i="4"/>
  <c r="F21" i="4"/>
  <c r="N20" i="4"/>
  <c r="M20" i="4"/>
  <c r="K20" i="4"/>
  <c r="J20" i="4"/>
  <c r="H20" i="4"/>
  <c r="G20" i="4"/>
  <c r="I19" i="4"/>
  <c r="E19" i="4"/>
  <c r="D19" i="4"/>
  <c r="N18" i="4"/>
  <c r="M18" i="4"/>
  <c r="K18" i="4"/>
  <c r="J18" i="4"/>
  <c r="H18" i="4"/>
  <c r="G18" i="4"/>
  <c r="L17" i="4"/>
  <c r="M17" i="4" s="1"/>
  <c r="I17" i="4"/>
  <c r="F17" i="4"/>
  <c r="G17" i="4" s="1"/>
  <c r="E17" i="4"/>
  <c r="D17" i="4"/>
  <c r="L16" i="4"/>
  <c r="I16" i="4"/>
  <c r="J16" i="4" s="1"/>
  <c r="G16" i="4"/>
  <c r="F16" i="4"/>
  <c r="H16" i="4" s="1"/>
  <c r="N15" i="4"/>
  <c r="M15" i="4"/>
  <c r="K15" i="4"/>
  <c r="J15" i="4"/>
  <c r="G15" i="4"/>
  <c r="E15" i="4"/>
  <c r="M14" i="4"/>
  <c r="K14" i="4"/>
  <c r="J14" i="4"/>
  <c r="E14" i="4"/>
  <c r="G14" i="4" s="1"/>
  <c r="L13" i="4"/>
  <c r="I13" i="4"/>
  <c r="J13" i="4" s="1"/>
  <c r="F13" i="4"/>
  <c r="G13" i="4" s="1"/>
  <c r="N12" i="4"/>
  <c r="M12" i="4"/>
  <c r="K12" i="4"/>
  <c r="J12" i="4"/>
  <c r="H12" i="4"/>
  <c r="G12" i="4"/>
  <c r="M11" i="4"/>
  <c r="L11" i="4"/>
  <c r="K11" i="4"/>
  <c r="I11" i="4"/>
  <c r="J11" i="4" s="1"/>
  <c r="G11" i="4"/>
  <c r="F11" i="4"/>
  <c r="H11" i="4" s="1"/>
  <c r="N10" i="4"/>
  <c r="L10" i="4"/>
  <c r="J10" i="4"/>
  <c r="I10" i="4"/>
  <c r="H10" i="4"/>
  <c r="F10" i="4"/>
  <c r="M9" i="4"/>
  <c r="L9" i="4"/>
  <c r="K9" i="4"/>
  <c r="I9" i="4"/>
  <c r="J9" i="4" s="1"/>
  <c r="H9" i="4"/>
  <c r="G9" i="4"/>
  <c r="I8" i="4"/>
  <c r="E8" i="4"/>
  <c r="D8" i="4"/>
  <c r="N13" i="4" l="1"/>
  <c r="N16" i="4"/>
  <c r="K17" i="4"/>
  <c r="G21" i="4"/>
  <c r="F19" i="4"/>
  <c r="K21" i="4"/>
  <c r="M21" i="4"/>
  <c r="L19" i="4"/>
  <c r="N23" i="4"/>
  <c r="G30" i="4"/>
  <c r="N35" i="4"/>
  <c r="H41" i="4"/>
  <c r="N41" i="4"/>
  <c r="G42" i="4"/>
  <c r="G47" i="4"/>
  <c r="J8" i="4"/>
  <c r="N9" i="4"/>
  <c r="G10" i="4"/>
  <c r="G8" i="4" s="1"/>
  <c r="F8" i="4"/>
  <c r="H8" i="4" s="1"/>
  <c r="K10" i="4"/>
  <c r="M10" i="4"/>
  <c r="L8" i="4"/>
  <c r="N8" i="4" s="1"/>
  <c r="N11" i="4"/>
  <c r="K13" i="4"/>
  <c r="M13" i="4"/>
  <c r="K16" i="4"/>
  <c r="M16" i="4"/>
  <c r="H17" i="4"/>
  <c r="J17" i="4"/>
  <c r="N17" i="4"/>
  <c r="J19" i="4"/>
  <c r="H21" i="4"/>
  <c r="J21" i="4"/>
  <c r="N21" i="4"/>
  <c r="K23" i="4"/>
  <c r="M23" i="4"/>
  <c r="G28" i="4"/>
  <c r="N28" i="4"/>
  <c r="H32" i="4"/>
  <c r="J32" i="4"/>
  <c r="I28" i="4"/>
  <c r="N32" i="4"/>
  <c r="K33" i="4"/>
  <c r="M35" i="4"/>
  <c r="H36" i="4"/>
  <c r="H38" i="4"/>
  <c r="J40" i="4"/>
  <c r="G40" i="4"/>
  <c r="F35" i="4"/>
  <c r="K40" i="4"/>
  <c r="K41" i="4"/>
  <c r="M41" i="4"/>
  <c r="G43" i="4"/>
  <c r="K43" i="4"/>
  <c r="G46" i="4"/>
  <c r="E43" i="4"/>
  <c r="H43" i="4" s="1"/>
  <c r="H47" i="4"/>
  <c r="J47" i="4"/>
  <c r="I54" i="4"/>
  <c r="N47" i="4"/>
  <c r="D54" i="4"/>
  <c r="G50" i="4"/>
  <c r="K50" i="4"/>
  <c r="L54" i="4"/>
  <c r="M50" i="4"/>
  <c r="H30" i="4"/>
  <c r="H42" i="4"/>
  <c r="H35" i="4" l="1"/>
  <c r="G35" i="4"/>
  <c r="K35" i="4"/>
  <c r="E54" i="4"/>
  <c r="H19" i="4"/>
  <c r="K19" i="4"/>
  <c r="G19" i="4"/>
  <c r="N54" i="4"/>
  <c r="M54" i="4"/>
  <c r="K54" i="4"/>
  <c r="F54" i="4"/>
  <c r="K28" i="4"/>
  <c r="J28" i="4"/>
  <c r="M8" i="4"/>
  <c r="J35" i="4"/>
  <c r="M28" i="4"/>
  <c r="N19" i="4"/>
  <c r="M19" i="4"/>
  <c r="K8" i="4"/>
  <c r="H54" i="4" l="1"/>
  <c r="G54" i="4"/>
  <c r="J54" i="4"/>
</calcChain>
</file>

<file path=xl/sharedStrings.xml><?xml version="1.0" encoding="utf-8"?>
<sst xmlns="http://schemas.openxmlformats.org/spreadsheetml/2006/main" count="146" uniqueCount="78">
  <si>
    <t>Наименование</t>
  </si>
  <si>
    <t>Раздел</t>
  </si>
  <si>
    <t>Подраздел</t>
  </si>
  <si>
    <t>ОБЩЕГОСУДАРСТВЕННЫЕ ВОПРОСЫ</t>
  </si>
  <si>
    <t>01</t>
  </si>
  <si>
    <t xml:space="preserve">  Функционирование высшего должностного лица субъекта Российской Федерации и муниципального образования</t>
  </si>
  <si>
    <t>02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</si>
  <si>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</si>
  <si>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</si>
  <si>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</si>
  <si>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</si>
  <si>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 xml:space="preserve">  Судебная система</t>
  </si>
  <si>
    <t>05</t>
  </si>
  <si>
    <t xml:space="preserve">  Резервные фонды</t>
  </si>
  <si>
    <t>11</t>
  </si>
  <si>
    <t xml:space="preserve">  Другие общегосударственные вопросы</t>
  </si>
  <si>
    <t>13</t>
  </si>
  <si>
    <t>НАЦИОНАЛЬНАЯ ОБОРОНА</t>
  </si>
  <si>
    <t xml:space="preserve">  Мобилизационная и вневойсковая подготовка</t>
  </si>
  <si>
    <t>НАЦИОНАЛЬНАЯ БЕЗОПАСНОСТЬ И ПРАВООХРАНИТЕЛЬНАЯ ДЕЯТЕЛЬНОСТЬ</t>
  </si>
  <si>
    <t xml:space="preserve">  Органы юстиции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</si>
  <si>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</si>
  <si>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09</t>
  </si>
  <si>
    <t xml:space="preserve">  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</si>
  <si>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</si>
  <si>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</si>
  <si>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 xml:space="preserve">  Сельское хозяйство и рыболовство</t>
  </si>
  <si>
    <t xml:space="preserve">  Дорожное хозяйство (дорожные фонды)</t>
  </si>
  <si>
    <t xml:space="preserve">  Связь и информатика</t>
  </si>
  <si>
    <t>10</t>
  </si>
  <si>
    <t xml:space="preserve">  Другие вопросы в области национальной экономики</t>
  </si>
  <si>
    <t>12</t>
  </si>
  <si>
    <t>ЖИЛИЩНО-КОММУНАЛЬНОЕ ХОЗЯЙСТВО</t>
  </si>
  <si>
    <t xml:space="preserve">  Жилищное хозяйство</t>
  </si>
  <si>
    <t xml:space="preserve">  Коммунальное хозяйство</t>
  </si>
  <si>
    <t xml:space="preserve">  Благоустройство</t>
  </si>
  <si>
    <t xml:space="preserve">  Другие вопросы в области жилищно-коммунального хозяйства</t>
  </si>
  <si>
    <t>ОХРАНА ОКРУЖАЮЩЕЙ СРЕДЫ</t>
  </si>
  <si>
    <t>06</t>
  </si>
  <si>
    <t xml:space="preserve">  Другие вопросы в области охраны окружающей среды</t>
  </si>
  <si>
    <t>ОБРАЗОВАНИЕ</t>
  </si>
  <si>
    <t>07</t>
  </si>
  <si>
    <t xml:space="preserve">  Дошкольное образование</t>
  </si>
  <si>
    <t xml:space="preserve">  Общее образование</t>
  </si>
  <si>
    <t xml:space="preserve">  Дополнительное образование детей</t>
  </si>
  <si>
    <t xml:space="preserve">  Молодежная политика</t>
  </si>
  <si>
    <t xml:space="preserve">  Другие вопросы в области образования</t>
  </si>
  <si>
    <t>КУЛЬТУРА И КИНЕМАТОГРАФИЯ</t>
  </si>
  <si>
    <t>08</t>
  </si>
  <si>
    <t xml:space="preserve">  Культура</t>
  </si>
  <si>
    <t>СОЦИАЛЬНАЯ ПОЛИТИКА</t>
  </si>
  <si>
    <t xml:space="preserve">  Пенсионное обеспечение</t>
  </si>
  <si>
    <t xml:space="preserve">  Социальное обеспечение населения</t>
  </si>
  <si>
    <t xml:space="preserve">  Охрана семьи и детства</t>
  </si>
  <si>
    <t>ФИЗИЧЕСКАЯ КУЛЬТУРА И СПОРТ</t>
  </si>
  <si>
    <t xml:space="preserve">  Физическая культура</t>
  </si>
  <si>
    <t xml:space="preserve">  Массовый спорт</t>
  </si>
  <si>
    <t>СРЕДСТВА МАССОВОЙ ИНФОРМАЦИИ</t>
  </si>
  <si>
    <t>ВСЕГО РАСХОДОВ</t>
  </si>
  <si>
    <t>проект</t>
  </si>
  <si>
    <t>сумма отклонений к предыдущему году</t>
  </si>
  <si>
    <t>руб.</t>
  </si>
  <si>
    <t xml:space="preserve"> Периодическая печать и издательства</t>
  </si>
  <si>
    <t xml:space="preserve">                              к Пояснительной записке</t>
  </si>
  <si>
    <t xml:space="preserve">                                 Приложение 1</t>
  </si>
  <si>
    <t>Проект на 2022 год</t>
  </si>
  <si>
    <t>Проект на 2023 год</t>
  </si>
  <si>
    <t>2020 год (Исполнение)</t>
  </si>
  <si>
    <t>2021 год (Ожидаемое исполнение)</t>
  </si>
  <si>
    <t>Проект на 2024 год</t>
  </si>
  <si>
    <t>Темп роста к 2021 году</t>
  </si>
  <si>
    <t>Темп роста к 2022 году</t>
  </si>
  <si>
    <t>Темп роста к 2023 году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</si>
  <si>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</si>
  <si>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Структура расходов бюджета ЗАТО Видяево на 2020-2024 годы:
</t>
  </si>
  <si>
    <t xml:space="preserve">    Обеспечение проведения выборов и референдумов</t>
  </si>
  <si>
    <t>ОБСЛУЖИВАНИЕ ГОСУДАРСТВЕННОГО (МУНИЦИПАЛЬНОГО) ДОЛГА</t>
  </si>
  <si>
    <t xml:space="preserve">  Обслуживание государственного (муниципального) внутреннего долга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</si>
</sst>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rgb="FF000000"/>
      <name val="Arial Cyr"/>
      <family val="2"/>
    </font>
    <font>
      <b/>
      <sz val="10"/>
      <color rgb="FF000000"/>
      <name val="Arial Cyr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1">
      <alignment horizontal="center" vertical="center" wrapText="1"/>
    </xf>
    <xf numFmtId="49" fontId="1" fillId="0" borderId="1">
      <alignment horizontal="left" vertical="top" wrapText="1"/>
    </xf>
    <xf numFmtId="4" fontId="1" fillId="4" borderId="1">
      <alignment horizontal="right" vertical="top" shrinkToFit="1"/>
    </xf>
    <xf numFmtId="0" fontId="2" fillId="0" borderId="1">
      <alignment horizontal="left"/>
    </xf>
    <xf numFmtId="4" fontId="2" fillId="5" borderId="1">
      <alignment horizontal="right" vertical="top" shrinkToFit="1"/>
    </xf>
  </cellStyleXfs>
  <cellXfs count="56">
    <xf numFmtId="0" fontId="0" fillId="0" borderId="0" xfId="0"/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6" fillId="3" borderId="2" xfId="2" quotePrefix="1" applyNumberFormat="1" applyFont="1" applyFill="1" applyBorder="1" applyAlignment="1" applyProtection="1">
      <alignment horizontal="center" vertical="center" wrapText="1"/>
    </xf>
    <xf numFmtId="4" fontId="6" fillId="3" borderId="6" xfId="3" applyFont="1" applyFill="1" applyBorder="1" applyAlignment="1" applyProtection="1">
      <alignment horizontal="center" vertical="center" shrinkToFit="1"/>
    </xf>
    <xf numFmtId="4" fontId="6" fillId="3" borderId="2" xfId="3" applyFont="1" applyFill="1" applyBorder="1" applyAlignment="1" applyProtection="1">
      <alignment horizontal="center" vertical="center" shrinkToFit="1"/>
    </xf>
    <xf numFmtId="4" fontId="6" fillId="3" borderId="7" xfId="3" applyFont="1" applyFill="1" applyBorder="1" applyAlignment="1" applyProtection="1">
      <alignment horizontal="center" vertical="center" shrinkToFit="1"/>
    </xf>
    <xf numFmtId="0" fontId="6" fillId="6" borderId="2" xfId="2" quotePrefix="1" applyNumberFormat="1" applyFont="1" applyFill="1" applyBorder="1" applyAlignment="1" applyProtection="1">
      <alignment horizontal="center" vertical="center" wrapText="1"/>
    </xf>
    <xf numFmtId="4" fontId="6" fillId="6" borderId="7" xfId="3" applyFont="1" applyFill="1" applyBorder="1" applyAlignment="1" applyProtection="1">
      <alignment horizontal="center" vertical="center" shrinkToFit="1"/>
    </xf>
    <xf numFmtId="4" fontId="6" fillId="6" borderId="2" xfId="3" applyFont="1" applyFill="1" applyBorder="1" applyAlignment="1" applyProtection="1">
      <alignment horizontal="center" vertical="center" shrinkToFit="1"/>
    </xf>
    <xf numFmtId="4" fontId="4" fillId="3" borderId="6" xfId="3" applyFont="1" applyFill="1" applyBorder="1" applyAlignment="1" applyProtection="1">
      <alignment horizontal="center" vertical="center" shrinkToFit="1"/>
    </xf>
    <xf numFmtId="4" fontId="6" fillId="6" borderId="6" xfId="3" applyFont="1" applyFill="1" applyBorder="1" applyAlignment="1" applyProtection="1">
      <alignment horizontal="center" vertical="center" shrinkToFit="1"/>
    </xf>
    <xf numFmtId="4" fontId="8" fillId="6" borderId="8" xfId="3" applyFont="1" applyFill="1" applyBorder="1" applyAlignment="1" applyProtection="1">
      <alignment horizontal="center" vertical="center" shrinkToFit="1"/>
    </xf>
    <xf numFmtId="4" fontId="8" fillId="6" borderId="9" xfId="3" applyFont="1" applyFill="1" applyBorder="1" applyAlignment="1" applyProtection="1">
      <alignment horizontal="center" vertical="center" shrinkToFit="1"/>
    </xf>
    <xf numFmtId="0" fontId="6" fillId="6" borderId="2" xfId="2" quotePrefix="1" applyNumberFormat="1" applyFont="1" applyFill="1" applyBorder="1" applyAlignment="1" applyProtection="1">
      <alignment horizontal="left" vertical="center" wrapText="1"/>
    </xf>
    <xf numFmtId="0" fontId="6" fillId="6" borderId="16" xfId="2" applyNumberFormat="1" applyFont="1" applyFill="1" applyBorder="1" applyAlignment="1" applyProtection="1">
      <alignment horizontal="center" vertical="center" wrapText="1"/>
    </xf>
    <xf numFmtId="0" fontId="6" fillId="3" borderId="2" xfId="2" quotePrefix="1" applyNumberFormat="1" applyFont="1" applyFill="1" applyBorder="1" applyAlignment="1" applyProtection="1">
      <alignment horizontal="left" vertical="center" wrapText="1"/>
    </xf>
    <xf numFmtId="0" fontId="6" fillId="3" borderId="16" xfId="2" quotePrefix="1" applyNumberFormat="1" applyFont="1" applyFill="1" applyBorder="1" applyAlignment="1" applyProtection="1">
      <alignment horizontal="center" vertical="center" wrapText="1"/>
    </xf>
    <xf numFmtId="0" fontId="4" fillId="3" borderId="2" xfId="2" quotePrefix="1" applyNumberFormat="1" applyFont="1" applyFill="1" applyBorder="1" applyAlignment="1" applyProtection="1">
      <alignment horizontal="left" vertical="center" wrapText="1"/>
    </xf>
    <xf numFmtId="0" fontId="4" fillId="3" borderId="2" xfId="2" quotePrefix="1" applyNumberFormat="1" applyFont="1" applyFill="1" applyBorder="1" applyAlignment="1" applyProtection="1">
      <alignment horizontal="center" vertical="center" wrapText="1"/>
    </xf>
    <xf numFmtId="0" fontId="4" fillId="3" borderId="16" xfId="2" quotePrefix="1" applyNumberFormat="1" applyFont="1" applyFill="1" applyBorder="1" applyAlignment="1" applyProtection="1">
      <alignment horizontal="center" vertical="center" wrapText="1"/>
    </xf>
    <xf numFmtId="4" fontId="4" fillId="3" borderId="2" xfId="3" applyFont="1" applyFill="1" applyBorder="1" applyAlignment="1" applyProtection="1">
      <alignment horizontal="center" vertical="center" shrinkToFit="1"/>
    </xf>
    <xf numFmtId="4" fontId="4" fillId="3" borderId="7" xfId="3" applyFont="1" applyFill="1" applyBorder="1" applyAlignment="1" applyProtection="1">
      <alignment horizontal="center" vertical="center" shrinkToFit="1"/>
    </xf>
    <xf numFmtId="0" fontId="8" fillId="6" borderId="2" xfId="4" applyNumberFormat="1" applyFont="1" applyFill="1" applyBorder="1" applyAlignment="1" applyProtection="1">
      <alignment horizontal="left" vertical="center"/>
    </xf>
    <xf numFmtId="0" fontId="8" fillId="6" borderId="2" xfId="4" applyNumberFormat="1" applyFont="1" applyFill="1" applyBorder="1" applyAlignment="1" applyProtection="1">
      <alignment horizontal="center" vertical="center"/>
    </xf>
    <xf numFmtId="0" fontId="8" fillId="6" borderId="16" xfId="4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right"/>
    </xf>
    <xf numFmtId="0" fontId="5" fillId="3" borderId="2" xfId="1" applyNumberFormat="1" applyFont="1" applyFill="1" applyBorder="1" applyAlignment="1" applyProtection="1">
      <alignment horizontal="center" vertical="center" wrapText="1"/>
      <protection locked="0"/>
    </xf>
    <xf numFmtId="0" fontId="5" fillId="3" borderId="2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3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16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12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13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14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6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6" xfId="1" applyFont="1" applyFill="1" applyBorder="1" applyAlignment="1">
      <alignment horizontal="center" vertical="center" wrapText="1"/>
    </xf>
    <xf numFmtId="0" fontId="4" fillId="2" borderId="11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5" fillId="3" borderId="7" xfId="1" applyNumberFormat="1" applyFont="1" applyFill="1" applyBorder="1" applyAlignment="1" applyProtection="1">
      <alignment horizontal="center" vertical="center" wrapText="1"/>
      <protection locked="0"/>
    </xf>
    <xf numFmtId="0" fontId="5" fillId="3" borderId="7" xfId="1" applyFont="1" applyFill="1" applyBorder="1" applyAlignment="1">
      <alignment horizontal="center" vertical="center" wrapText="1"/>
    </xf>
    <xf numFmtId="4" fontId="10" fillId="6" borderId="6" xfId="3" applyFont="1" applyFill="1" applyBorder="1" applyAlignment="1" applyProtection="1">
      <alignment horizontal="center" vertical="center" shrinkToFit="1"/>
    </xf>
    <xf numFmtId="4" fontId="10" fillId="6" borderId="7" xfId="3" applyFont="1" applyFill="1" applyBorder="1" applyAlignment="1" applyProtection="1">
      <alignment horizontal="center" vertical="center" shrinkToFit="1"/>
    </xf>
    <xf numFmtId="4" fontId="10" fillId="6" borderId="2" xfId="3" applyFont="1" applyFill="1" applyBorder="1" applyAlignment="1" applyProtection="1">
      <alignment horizontal="center" vertical="center" shrinkToFit="1"/>
    </xf>
    <xf numFmtId="4" fontId="10" fillId="3" borderId="6" xfId="3" applyFont="1" applyFill="1" applyBorder="1" applyAlignment="1" applyProtection="1">
      <alignment horizontal="center" vertical="center" shrinkToFit="1"/>
    </xf>
    <xf numFmtId="4" fontId="10" fillId="3" borderId="10" xfId="3" applyFont="1" applyFill="1" applyBorder="1" applyAlignment="1" applyProtection="1">
      <alignment horizontal="center" vertical="center" shrinkToFit="1"/>
    </xf>
    <xf numFmtId="4" fontId="11" fillId="3" borderId="6" xfId="3" applyFont="1" applyFill="1" applyBorder="1" applyAlignment="1" applyProtection="1">
      <alignment horizontal="center" vertical="center" shrinkToFit="1"/>
    </xf>
    <xf numFmtId="4" fontId="11" fillId="3" borderId="10" xfId="3" applyFont="1" applyFill="1" applyBorder="1" applyAlignment="1" applyProtection="1">
      <alignment horizontal="center" vertical="center" shrinkToFit="1"/>
    </xf>
    <xf numFmtId="4" fontId="12" fillId="6" borderId="15" xfId="5" applyFont="1" applyFill="1" applyBorder="1" applyAlignment="1" applyProtection="1">
      <alignment horizontal="center" vertical="center" shrinkToFit="1"/>
    </xf>
    <xf numFmtId="4" fontId="12" fillId="6" borderId="9" xfId="5" applyFont="1" applyFill="1" applyBorder="1" applyAlignment="1" applyProtection="1">
      <alignment horizontal="center" vertical="center" shrinkToFit="1"/>
    </xf>
  </cellXfs>
  <cellStyles count="6">
    <cellStyle name="xl29" xfId="1"/>
    <cellStyle name="xl33" xfId="4"/>
    <cellStyle name="xl34" xfId="5"/>
    <cellStyle name="xl38" xfId="2"/>
    <cellStyle name="xl39" xfId="3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abSelected="1" view="pageBreakPreview" topLeftCell="A40" zoomScale="60" zoomScaleNormal="100" workbookViewId="0">
      <selection activeCell="A20" sqref="A20"/>
    </sheetView>
  </sheetViews>
  <sheetFormatPr defaultRowHeight="14.4" x14ac:dyDescent="0.3"/>
  <cols>
    <col min="1" max="1" width="30.109375" customWidth="1"/>
    <col min="2" max="2" width="6.6640625" customWidth="1"/>
    <col min="3" max="3" width="6" customWidth="1"/>
    <col min="4" max="4" width="11.6640625" customWidth="1"/>
    <col min="5" max="5" width="12" customWidth="1"/>
    <col min="6" max="6" width="11.44140625" customWidth="1"/>
    <col min="7" max="7" width="12.6640625" customWidth="1"/>
    <col min="8" max="8" width="11.6640625" customWidth="1"/>
    <col min="9" max="9" width="13.5546875" customWidth="1"/>
    <col min="10" max="10" width="13.33203125" customWidth="1"/>
    <col min="11" max="11" width="12" customWidth="1"/>
    <col min="12" max="12" width="13" customWidth="1"/>
    <col min="13" max="13" width="9.6640625" customWidth="1"/>
  </cols>
  <sheetData>
    <row r="1" spans="1:14" x14ac:dyDescent="0.3">
      <c r="A1" s="1"/>
      <c r="B1" s="1"/>
      <c r="C1" s="1"/>
      <c r="D1" s="1"/>
      <c r="E1" s="1"/>
      <c r="F1" s="1"/>
      <c r="G1" s="1"/>
      <c r="H1" s="1"/>
      <c r="I1" s="1"/>
      <c r="J1" s="2"/>
      <c r="K1" s="27" t="s">
        <v>64</v>
      </c>
      <c r="L1" s="27"/>
      <c r="M1" s="27"/>
      <c r="N1" s="27"/>
    </row>
    <row r="2" spans="1:14" x14ac:dyDescent="0.3">
      <c r="A2" s="1"/>
      <c r="B2" s="1"/>
      <c r="C2" s="1"/>
      <c r="D2" s="1"/>
      <c r="E2" s="1"/>
      <c r="F2" s="1"/>
      <c r="G2" s="1"/>
      <c r="H2" s="1"/>
      <c r="I2" s="1"/>
      <c r="J2" s="27" t="s">
        <v>63</v>
      </c>
      <c r="K2" s="27"/>
      <c r="L2" s="27"/>
      <c r="M2" s="27"/>
      <c r="N2" s="27"/>
    </row>
    <row r="3" spans="1:14" ht="17.399999999999999" customHeight="1" x14ac:dyDescent="0.3">
      <c r="A3" s="30" t="s">
        <v>74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5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3" t="s">
        <v>61</v>
      </c>
    </row>
    <row r="5" spans="1:14" s="1" customFormat="1" ht="13.95" customHeight="1" x14ac:dyDescent="0.25">
      <c r="A5" s="32" t="s">
        <v>0</v>
      </c>
      <c r="B5" s="33" t="s">
        <v>1</v>
      </c>
      <c r="C5" s="34" t="s">
        <v>2</v>
      </c>
      <c r="D5" s="35" t="s">
        <v>67</v>
      </c>
      <c r="E5" s="40" t="s">
        <v>68</v>
      </c>
      <c r="F5" s="42" t="s">
        <v>65</v>
      </c>
      <c r="G5" s="43"/>
      <c r="H5" s="44"/>
      <c r="I5" s="42" t="s">
        <v>66</v>
      </c>
      <c r="J5" s="43"/>
      <c r="K5" s="44"/>
      <c r="L5" s="42" t="s">
        <v>69</v>
      </c>
      <c r="M5" s="43"/>
      <c r="N5" s="44"/>
    </row>
    <row r="6" spans="1:14" ht="15" customHeight="1" x14ac:dyDescent="0.3">
      <c r="A6" s="32"/>
      <c r="B6" s="33"/>
      <c r="C6" s="34"/>
      <c r="D6" s="36"/>
      <c r="E6" s="41"/>
      <c r="F6" s="38" t="s">
        <v>59</v>
      </c>
      <c r="G6" s="28" t="s">
        <v>60</v>
      </c>
      <c r="H6" s="45" t="s">
        <v>70</v>
      </c>
      <c r="I6" s="38" t="s">
        <v>59</v>
      </c>
      <c r="J6" s="28" t="s">
        <v>60</v>
      </c>
      <c r="K6" s="45" t="s">
        <v>71</v>
      </c>
      <c r="L6" s="38" t="s">
        <v>59</v>
      </c>
      <c r="M6" s="28" t="s">
        <v>60</v>
      </c>
      <c r="N6" s="45" t="s">
        <v>72</v>
      </c>
    </row>
    <row r="7" spans="1:14" ht="118.95" customHeight="1" x14ac:dyDescent="0.3">
      <c r="A7" s="32"/>
      <c r="B7" s="33"/>
      <c r="C7" s="34"/>
      <c r="D7" s="37"/>
      <c r="E7" s="41"/>
      <c r="F7" s="39"/>
      <c r="G7" s="29"/>
      <c r="H7" s="46"/>
      <c r="I7" s="39"/>
      <c r="J7" s="29"/>
      <c r="K7" s="46"/>
      <c r="L7" s="39"/>
      <c r="M7" s="29"/>
      <c r="N7" s="46"/>
    </row>
    <row r="8" spans="1:14" ht="27.6" customHeight="1" x14ac:dyDescent="0.3">
      <c r="A8" s="15" t="s">
        <v>3</v>
      </c>
      <c r="B8" s="8" t="s">
        <v>4</v>
      </c>
      <c r="C8" s="16"/>
      <c r="D8" s="47">
        <f>D9+D10+D11+D12+D15+D16+D13+D14</f>
        <v>70126242.289999992</v>
      </c>
      <c r="E8" s="48">
        <f>E9+E10+E11+E12+E15+E16+E13+E14</f>
        <v>73078778.519999996</v>
      </c>
      <c r="F8" s="47">
        <f>F9+F10+F11+F12+F15+F16+F13+F14</f>
        <v>78844213.730000004</v>
      </c>
      <c r="G8" s="49">
        <f>G9+G10+G11+G12+G15+G16+G13+G14</f>
        <v>5765435.2100000083</v>
      </c>
      <c r="H8" s="9">
        <f t="shared" ref="H8:H54" si="0">F8/E8*100</f>
        <v>107.88934260637942</v>
      </c>
      <c r="I8" s="47">
        <f>I9+I10+I11+I12+I15+I16+I13+I14</f>
        <v>77909793.200000003</v>
      </c>
      <c r="J8" s="49">
        <f>J9+J10+J11+J12+J15+J16+J13+J14</f>
        <v>-934420.53000000585</v>
      </c>
      <c r="K8" s="9">
        <f>I8/F8*100</f>
        <v>98.814852116859328</v>
      </c>
      <c r="L8" s="47">
        <f>L9+L10+L11+L12+L15+L16+L13+L14</f>
        <v>77952878.189999998</v>
      </c>
      <c r="M8" s="49">
        <f>M9+M10+M11+M12+M15+M16+M13+M14</f>
        <v>43084.990000002406</v>
      </c>
      <c r="N8" s="9">
        <f>L8/I8*100</f>
        <v>100.05530112227277</v>
      </c>
    </row>
    <row r="9" spans="1:14" ht="54.6" customHeight="1" x14ac:dyDescent="0.3">
      <c r="A9" s="17" t="s">
        <v>5</v>
      </c>
      <c r="B9" s="4" t="s">
        <v>4</v>
      </c>
      <c r="C9" s="18" t="s">
        <v>6</v>
      </c>
      <c r="D9" s="50">
        <v>2409003</v>
      </c>
      <c r="E9" s="51">
        <v>2604000</v>
      </c>
      <c r="F9" s="5">
        <v>2585903.36</v>
      </c>
      <c r="G9" s="6">
        <f t="shared" ref="G9:G49" si="1">F9-E9</f>
        <v>-18096.64000000013</v>
      </c>
      <c r="H9" s="7">
        <f t="shared" si="0"/>
        <v>99.305044546850993</v>
      </c>
      <c r="I9" s="5">
        <f>2689339.49-103436.13</f>
        <v>2585903.3600000003</v>
      </c>
      <c r="J9" s="6">
        <f t="shared" ref="J9:J53" si="2">I9-F9</f>
        <v>0</v>
      </c>
      <c r="K9" s="7">
        <f t="shared" ref="K9:K51" si="3">I9/F9*100</f>
        <v>100.00000000000003</v>
      </c>
      <c r="L9" s="5">
        <f>2796913.07-211009.71</f>
        <v>2585903.36</v>
      </c>
      <c r="M9" s="6">
        <f t="shared" ref="M9:M54" si="4">L9-I9</f>
        <v>0</v>
      </c>
      <c r="N9" s="7">
        <f t="shared" ref="N9:N54" si="5">L9/I9*100</f>
        <v>99.999999999999972</v>
      </c>
    </row>
    <row r="10" spans="1:14" ht="89.4" customHeight="1" x14ac:dyDescent="0.3">
      <c r="A10" s="17" t="s">
        <v>7</v>
      </c>
      <c r="B10" s="4" t="s">
        <v>4</v>
      </c>
      <c r="C10" s="18" t="s">
        <v>8</v>
      </c>
      <c r="D10" s="50">
        <v>6661755.2599999998</v>
      </c>
      <c r="E10" s="51">
        <v>6981826.1699999999</v>
      </c>
      <c r="F10" s="5">
        <f>4751225.22+295309.55-239743</f>
        <v>4806791.7699999996</v>
      </c>
      <c r="G10" s="6">
        <f t="shared" si="1"/>
        <v>-2175034.4000000004</v>
      </c>
      <c r="H10" s="7">
        <f t="shared" si="0"/>
        <v>68.847199184851661</v>
      </c>
      <c r="I10" s="5">
        <f>4959172.73-10320.86-239743</f>
        <v>4709108.87</v>
      </c>
      <c r="J10" s="6">
        <f t="shared" si="2"/>
        <v>-97682.899999999441</v>
      </c>
      <c r="K10" s="7">
        <f t="shared" si="3"/>
        <v>97.967815027693632</v>
      </c>
      <c r="L10" s="5">
        <f>5137892.27-345195.17-239743</f>
        <v>4552954.0999999996</v>
      </c>
      <c r="M10" s="6">
        <f t="shared" si="4"/>
        <v>-156154.77000000048</v>
      </c>
      <c r="N10" s="7">
        <f t="shared" si="5"/>
        <v>96.683984713226636</v>
      </c>
    </row>
    <row r="11" spans="1:14" ht="95.25" customHeight="1" x14ac:dyDescent="0.3">
      <c r="A11" s="17" t="s">
        <v>9</v>
      </c>
      <c r="B11" s="4" t="s">
        <v>4</v>
      </c>
      <c r="C11" s="18" t="s">
        <v>10</v>
      </c>
      <c r="D11" s="50">
        <v>36425855.210000001</v>
      </c>
      <c r="E11" s="51">
        <v>36535173.829999998</v>
      </c>
      <c r="F11" s="5">
        <f>37406220.09+4012164.45+515686</f>
        <v>41934070.540000007</v>
      </c>
      <c r="G11" s="6">
        <f t="shared" si="1"/>
        <v>5398896.7100000083</v>
      </c>
      <c r="H11" s="7">
        <f t="shared" si="0"/>
        <v>114.7772574865015</v>
      </c>
      <c r="I11" s="5">
        <f>38903443.37+2400167.95+599186</f>
        <v>41902797.32</v>
      </c>
      <c r="J11" s="6">
        <f t="shared" si="2"/>
        <v>-31273.220000006258</v>
      </c>
      <c r="K11" s="7">
        <f t="shared" si="3"/>
        <v>99.925422885025725</v>
      </c>
      <c r="L11" s="5">
        <f>40337552.13+1156383.93+430900.04</f>
        <v>41924836.100000001</v>
      </c>
      <c r="M11" s="6">
        <f t="shared" si="4"/>
        <v>22038.780000001192</v>
      </c>
      <c r="N11" s="7">
        <f t="shared" si="5"/>
        <v>100.0525950089482</v>
      </c>
    </row>
    <row r="12" spans="1:14" ht="20.100000000000001" customHeight="1" x14ac:dyDescent="0.3">
      <c r="A12" s="17" t="s">
        <v>11</v>
      </c>
      <c r="B12" s="4" t="s">
        <v>4</v>
      </c>
      <c r="C12" s="18" t="s">
        <v>12</v>
      </c>
      <c r="D12" s="50">
        <v>476</v>
      </c>
      <c r="E12" s="51">
        <v>640.57000000000005</v>
      </c>
      <c r="F12" s="5">
        <v>6266.8</v>
      </c>
      <c r="G12" s="6">
        <f t="shared" si="1"/>
        <v>5626.2300000000005</v>
      </c>
      <c r="H12" s="7">
        <f t="shared" si="0"/>
        <v>978.31618714582316</v>
      </c>
      <c r="I12" s="5">
        <v>233.34</v>
      </c>
      <c r="J12" s="6">
        <f t="shared" si="2"/>
        <v>-6033.46</v>
      </c>
      <c r="K12" s="7">
        <f t="shared" si="3"/>
        <v>3.7234314163528439</v>
      </c>
      <c r="L12" s="5">
        <v>209.75</v>
      </c>
      <c r="M12" s="6">
        <f t="shared" si="4"/>
        <v>-23.590000000000003</v>
      </c>
      <c r="N12" s="7">
        <f t="shared" si="5"/>
        <v>89.890288848890037</v>
      </c>
    </row>
    <row r="13" spans="1:14" ht="76.2" customHeight="1" x14ac:dyDescent="0.3">
      <c r="A13" s="17" t="s">
        <v>73</v>
      </c>
      <c r="B13" s="4" t="s">
        <v>4</v>
      </c>
      <c r="C13" s="18" t="s">
        <v>38</v>
      </c>
      <c r="D13" s="50">
        <v>0</v>
      </c>
      <c r="E13" s="51">
        <v>0</v>
      </c>
      <c r="F13" s="5">
        <f>3222491.33+250000+239743</f>
        <v>3712234.33</v>
      </c>
      <c r="G13" s="6">
        <f t="shared" si="1"/>
        <v>3712234.33</v>
      </c>
      <c r="H13" s="7">
        <v>0</v>
      </c>
      <c r="I13" s="5">
        <f>3351447.45+250000+239743</f>
        <v>3841190.45</v>
      </c>
      <c r="J13" s="6">
        <f t="shared" si="2"/>
        <v>128956.12000000011</v>
      </c>
      <c r="K13" s="7">
        <f t="shared" si="3"/>
        <v>103.4738141112983</v>
      </c>
      <c r="L13" s="5">
        <f>3485563.44+250000+239743</f>
        <v>3975306.44</v>
      </c>
      <c r="M13" s="6">
        <f t="shared" si="4"/>
        <v>134115.98999999976</v>
      </c>
      <c r="N13" s="7">
        <f t="shared" si="5"/>
        <v>103.49152148912583</v>
      </c>
    </row>
    <row r="14" spans="1:14" ht="32.4" customHeight="1" x14ac:dyDescent="0.3">
      <c r="A14" s="19" t="s">
        <v>75</v>
      </c>
      <c r="B14" s="20" t="s">
        <v>4</v>
      </c>
      <c r="C14" s="21" t="s">
        <v>41</v>
      </c>
      <c r="D14" s="52">
        <v>0</v>
      </c>
      <c r="E14" s="53">
        <f>1000000-1000000</f>
        <v>0</v>
      </c>
      <c r="F14" s="11">
        <v>1000000</v>
      </c>
      <c r="G14" s="22">
        <f t="shared" si="1"/>
        <v>1000000</v>
      </c>
      <c r="H14" s="23">
        <v>0</v>
      </c>
      <c r="I14" s="11">
        <v>0</v>
      </c>
      <c r="J14" s="22">
        <f t="shared" si="2"/>
        <v>-1000000</v>
      </c>
      <c r="K14" s="23">
        <f t="shared" si="3"/>
        <v>0</v>
      </c>
      <c r="L14" s="11">
        <v>0</v>
      </c>
      <c r="M14" s="22">
        <f t="shared" si="4"/>
        <v>0</v>
      </c>
      <c r="N14" s="23">
        <v>0</v>
      </c>
    </row>
    <row r="15" spans="1:14" ht="31.95" customHeight="1" x14ac:dyDescent="0.3">
      <c r="A15" s="17" t="s">
        <v>13</v>
      </c>
      <c r="B15" s="4" t="s">
        <v>4</v>
      </c>
      <c r="C15" s="18" t="s">
        <v>14</v>
      </c>
      <c r="D15" s="50">
        <v>0</v>
      </c>
      <c r="E15" s="51">
        <f>1000000-1000000</f>
        <v>0</v>
      </c>
      <c r="F15" s="5">
        <v>1000000</v>
      </c>
      <c r="G15" s="6">
        <f t="shared" si="1"/>
        <v>1000000</v>
      </c>
      <c r="H15" s="7">
        <v>0</v>
      </c>
      <c r="I15" s="5">
        <v>1000000</v>
      </c>
      <c r="J15" s="6">
        <f t="shared" si="2"/>
        <v>0</v>
      </c>
      <c r="K15" s="7">
        <f t="shared" si="3"/>
        <v>100</v>
      </c>
      <c r="L15" s="5">
        <v>1000000</v>
      </c>
      <c r="M15" s="6">
        <f t="shared" si="4"/>
        <v>0</v>
      </c>
      <c r="N15" s="7">
        <f t="shared" si="5"/>
        <v>100</v>
      </c>
    </row>
    <row r="16" spans="1:14" ht="32.25" customHeight="1" x14ac:dyDescent="0.3">
      <c r="A16" s="17" t="s">
        <v>15</v>
      </c>
      <c r="B16" s="4" t="s">
        <v>4</v>
      </c>
      <c r="C16" s="18" t="s">
        <v>16</v>
      </c>
      <c r="D16" s="50">
        <v>24629152.82</v>
      </c>
      <c r="E16" s="51">
        <v>26957137.949999999</v>
      </c>
      <c r="F16" s="5">
        <f>35479686.57-11680739.64</f>
        <v>23798946.93</v>
      </c>
      <c r="G16" s="6">
        <f t="shared" si="1"/>
        <v>-3158191.0199999996</v>
      </c>
      <c r="H16" s="7">
        <f t="shared" si="0"/>
        <v>88.284397899147166</v>
      </c>
      <c r="I16" s="5">
        <f>26481945.93-2611386.07</f>
        <v>23870559.859999999</v>
      </c>
      <c r="J16" s="6">
        <f t="shared" si="2"/>
        <v>71612.929999999702</v>
      </c>
      <c r="K16" s="7">
        <f t="shared" si="3"/>
        <v>100.30090797803213</v>
      </c>
      <c r="L16" s="5">
        <f>26220968.44-1982157.07-325142.93</f>
        <v>23913668.440000001</v>
      </c>
      <c r="M16" s="6">
        <f t="shared" si="4"/>
        <v>43108.580000001937</v>
      </c>
      <c r="N16" s="7">
        <f t="shared" si="5"/>
        <v>100.18059308308156</v>
      </c>
    </row>
    <row r="17" spans="1:14" ht="34.200000000000003" customHeight="1" x14ac:dyDescent="0.3">
      <c r="A17" s="15" t="s">
        <v>17</v>
      </c>
      <c r="B17" s="8" t="s">
        <v>6</v>
      </c>
      <c r="C17" s="16"/>
      <c r="D17" s="47">
        <f>D18</f>
        <v>488590</v>
      </c>
      <c r="E17" s="48">
        <f>E18</f>
        <v>496700</v>
      </c>
      <c r="F17" s="47">
        <f>F18</f>
        <v>513100</v>
      </c>
      <c r="G17" s="10">
        <f t="shared" si="1"/>
        <v>16400</v>
      </c>
      <c r="H17" s="9">
        <f t="shared" si="0"/>
        <v>103.30179182605195</v>
      </c>
      <c r="I17" s="49">
        <f>I18</f>
        <v>530500</v>
      </c>
      <c r="J17" s="10">
        <f t="shared" si="2"/>
        <v>17400</v>
      </c>
      <c r="K17" s="9">
        <f t="shared" si="3"/>
        <v>103.39115182225686</v>
      </c>
      <c r="L17" s="49">
        <f>L18</f>
        <v>549400</v>
      </c>
      <c r="M17" s="10">
        <f t="shared" si="4"/>
        <v>18900</v>
      </c>
      <c r="N17" s="9">
        <f t="shared" si="5"/>
        <v>103.5626767200754</v>
      </c>
    </row>
    <row r="18" spans="1:14" ht="48" customHeight="1" x14ac:dyDescent="0.3">
      <c r="A18" s="17" t="s">
        <v>18</v>
      </c>
      <c r="B18" s="4" t="s">
        <v>6</v>
      </c>
      <c r="C18" s="18" t="s">
        <v>8</v>
      </c>
      <c r="D18" s="50">
        <v>488590</v>
      </c>
      <c r="E18" s="51">
        <v>496700</v>
      </c>
      <c r="F18" s="5">
        <v>513100</v>
      </c>
      <c r="G18" s="6">
        <f t="shared" si="1"/>
        <v>16400</v>
      </c>
      <c r="H18" s="7">
        <f t="shared" si="0"/>
        <v>103.30179182605195</v>
      </c>
      <c r="I18" s="5">
        <v>530500</v>
      </c>
      <c r="J18" s="6">
        <f t="shared" si="2"/>
        <v>17400</v>
      </c>
      <c r="K18" s="7">
        <f t="shared" si="3"/>
        <v>103.39115182225686</v>
      </c>
      <c r="L18" s="5">
        <v>549400</v>
      </c>
      <c r="M18" s="6">
        <f t="shared" si="4"/>
        <v>18900</v>
      </c>
      <c r="N18" s="7">
        <f t="shared" si="5"/>
        <v>103.5626767200754</v>
      </c>
    </row>
    <row r="19" spans="1:14" ht="63" customHeight="1" x14ac:dyDescent="0.3">
      <c r="A19" s="15" t="s">
        <v>19</v>
      </c>
      <c r="B19" s="8" t="s">
        <v>8</v>
      </c>
      <c r="C19" s="16"/>
      <c r="D19" s="47">
        <f>D20+D21+D22</f>
        <v>18807203.149999999</v>
      </c>
      <c r="E19" s="48">
        <f>E20+E21+E22</f>
        <v>20088302.23</v>
      </c>
      <c r="F19" s="47">
        <f>F20+F21+F22</f>
        <v>30704602.18</v>
      </c>
      <c r="G19" s="10">
        <f t="shared" si="1"/>
        <v>10616299.949999999</v>
      </c>
      <c r="H19" s="9">
        <f t="shared" si="0"/>
        <v>152.84816919045326</v>
      </c>
      <c r="I19" s="49">
        <f>I20+I21+I22</f>
        <v>23506937.34</v>
      </c>
      <c r="J19" s="10">
        <f t="shared" si="2"/>
        <v>-7197664.8399999999</v>
      </c>
      <c r="K19" s="9">
        <f t="shared" si="3"/>
        <v>76.558351748688906</v>
      </c>
      <c r="L19" s="49">
        <f>L20+L21+L22</f>
        <v>23679892.050000001</v>
      </c>
      <c r="M19" s="10">
        <f t="shared" si="4"/>
        <v>172954.71000000089</v>
      </c>
      <c r="N19" s="9">
        <f t="shared" si="5"/>
        <v>100.73576028854127</v>
      </c>
    </row>
    <row r="20" spans="1:14" ht="27.6" customHeight="1" x14ac:dyDescent="0.3">
      <c r="A20" s="17" t="s">
        <v>20</v>
      </c>
      <c r="B20" s="4" t="s">
        <v>8</v>
      </c>
      <c r="C20" s="18" t="s">
        <v>10</v>
      </c>
      <c r="D20" s="50">
        <v>791812</v>
      </c>
      <c r="E20" s="51">
        <v>1120010</v>
      </c>
      <c r="F20" s="5">
        <v>1447967</v>
      </c>
      <c r="G20" s="6">
        <f t="shared" si="1"/>
        <v>327957</v>
      </c>
      <c r="H20" s="7">
        <f t="shared" si="0"/>
        <v>129.28161355702181</v>
      </c>
      <c r="I20" s="5">
        <v>1767152</v>
      </c>
      <c r="J20" s="6">
        <f t="shared" si="2"/>
        <v>319185</v>
      </c>
      <c r="K20" s="7">
        <f t="shared" si="3"/>
        <v>122.04366535977684</v>
      </c>
      <c r="L20" s="5">
        <v>1836322</v>
      </c>
      <c r="M20" s="6">
        <f t="shared" si="4"/>
        <v>69170</v>
      </c>
      <c r="N20" s="7">
        <f t="shared" si="5"/>
        <v>103.9142077195397</v>
      </c>
    </row>
    <row r="21" spans="1:14" ht="48" customHeight="1" x14ac:dyDescent="0.3">
      <c r="A21" s="17" t="s">
        <v>21</v>
      </c>
      <c r="B21" s="4" t="s">
        <v>8</v>
      </c>
      <c r="C21" s="18" t="s">
        <v>22</v>
      </c>
      <c r="D21" s="50">
        <v>17738429.5</v>
      </c>
      <c r="E21" s="51">
        <v>18719292.23</v>
      </c>
      <c r="F21" s="5">
        <f>19906595.54+9281039.64-350000</f>
        <v>28837635.18</v>
      </c>
      <c r="G21" s="6">
        <f t="shared" si="1"/>
        <v>10118342.949999999</v>
      </c>
      <c r="H21" s="7">
        <f t="shared" si="0"/>
        <v>154.05302094586725</v>
      </c>
      <c r="I21" s="5">
        <f>20109099.27+1211686.07</f>
        <v>21320785.34</v>
      </c>
      <c r="J21" s="6">
        <f t="shared" si="2"/>
        <v>-7516849.8399999999</v>
      </c>
      <c r="K21" s="7">
        <f t="shared" si="3"/>
        <v>73.933889540244891</v>
      </c>
      <c r="L21" s="5">
        <f>20842112.98+582457.07</f>
        <v>21424570.050000001</v>
      </c>
      <c r="M21" s="6">
        <f t="shared" si="4"/>
        <v>103784.71000000089</v>
      </c>
      <c r="N21" s="7">
        <f t="shared" si="5"/>
        <v>100.4867771442044</v>
      </c>
    </row>
    <row r="22" spans="1:14" ht="34.5" customHeight="1" x14ac:dyDescent="0.3">
      <c r="A22" s="17" t="s">
        <v>23</v>
      </c>
      <c r="B22" s="4" t="s">
        <v>8</v>
      </c>
      <c r="C22" s="18" t="s">
        <v>24</v>
      </c>
      <c r="D22" s="50">
        <v>276961.65000000002</v>
      </c>
      <c r="E22" s="51">
        <v>249000</v>
      </c>
      <c r="F22" s="5">
        <v>419000</v>
      </c>
      <c r="G22" s="6">
        <f t="shared" si="1"/>
        <v>170000</v>
      </c>
      <c r="H22" s="7">
        <f t="shared" si="0"/>
        <v>168.27309236947792</v>
      </c>
      <c r="I22" s="5">
        <v>419000</v>
      </c>
      <c r="J22" s="6">
        <f t="shared" si="2"/>
        <v>0</v>
      </c>
      <c r="K22" s="7">
        <f t="shared" si="3"/>
        <v>100</v>
      </c>
      <c r="L22" s="5">
        <v>419000</v>
      </c>
      <c r="M22" s="6">
        <f t="shared" si="4"/>
        <v>0</v>
      </c>
      <c r="N22" s="7">
        <f t="shared" si="5"/>
        <v>100</v>
      </c>
    </row>
    <row r="23" spans="1:14" ht="30" customHeight="1" x14ac:dyDescent="0.3">
      <c r="A23" s="15" t="s">
        <v>25</v>
      </c>
      <c r="B23" s="8" t="s">
        <v>10</v>
      </c>
      <c r="C23" s="16"/>
      <c r="D23" s="47">
        <f>D24+D25+D26+D27</f>
        <v>18426768.02</v>
      </c>
      <c r="E23" s="48">
        <f>E24+E25+E26+E27</f>
        <v>22933935.420000002</v>
      </c>
      <c r="F23" s="47">
        <f>F24+F25+F26+F27</f>
        <v>23202233.789999999</v>
      </c>
      <c r="G23" s="10">
        <f t="shared" si="1"/>
        <v>268298.36999999732</v>
      </c>
      <c r="H23" s="9">
        <f t="shared" si="0"/>
        <v>101.16987496950054</v>
      </c>
      <c r="I23" s="49">
        <f>I24+I25+I26+I27</f>
        <v>19563695.120000001</v>
      </c>
      <c r="J23" s="10">
        <f t="shared" si="2"/>
        <v>-3638538.6699999981</v>
      </c>
      <c r="K23" s="9">
        <f t="shared" si="3"/>
        <v>84.318153575505377</v>
      </c>
      <c r="L23" s="49">
        <f>L24+L25+L26+L27</f>
        <v>20090588.120000001</v>
      </c>
      <c r="M23" s="10">
        <f t="shared" si="4"/>
        <v>526893</v>
      </c>
      <c r="N23" s="9">
        <f t="shared" si="5"/>
        <v>102.69321821244984</v>
      </c>
    </row>
    <row r="24" spans="1:14" ht="34.950000000000003" customHeight="1" x14ac:dyDescent="0.3">
      <c r="A24" s="17" t="s">
        <v>26</v>
      </c>
      <c r="B24" s="4" t="s">
        <v>10</v>
      </c>
      <c r="C24" s="18" t="s">
        <v>12</v>
      </c>
      <c r="D24" s="50">
        <v>102328</v>
      </c>
      <c r="E24" s="51">
        <v>137880</v>
      </c>
      <c r="F24" s="5">
        <v>303029</v>
      </c>
      <c r="G24" s="6">
        <f t="shared" si="1"/>
        <v>165149</v>
      </c>
      <c r="H24" s="7">
        <f t="shared" si="0"/>
        <v>219.77734261676824</v>
      </c>
      <c r="I24" s="5">
        <v>304149</v>
      </c>
      <c r="J24" s="6">
        <f t="shared" si="2"/>
        <v>1120</v>
      </c>
      <c r="K24" s="7">
        <f t="shared" si="3"/>
        <v>100.36960158928683</v>
      </c>
      <c r="L24" s="5">
        <v>305315</v>
      </c>
      <c r="M24" s="6">
        <f t="shared" si="4"/>
        <v>1166</v>
      </c>
      <c r="N24" s="7">
        <f t="shared" si="5"/>
        <v>100.38336473241733</v>
      </c>
    </row>
    <row r="25" spans="1:14" ht="35.4" customHeight="1" x14ac:dyDescent="0.3">
      <c r="A25" s="17" t="s">
        <v>27</v>
      </c>
      <c r="B25" s="4" t="s">
        <v>10</v>
      </c>
      <c r="C25" s="18" t="s">
        <v>22</v>
      </c>
      <c r="D25" s="50">
        <v>18213465.809999999</v>
      </c>
      <c r="E25" s="51">
        <v>22106333.420000002</v>
      </c>
      <c r="F25" s="5">
        <v>22316404.789999999</v>
      </c>
      <c r="G25" s="6">
        <f t="shared" si="1"/>
        <v>210071.36999999732</v>
      </c>
      <c r="H25" s="7">
        <f t="shared" si="0"/>
        <v>100.95027685509321</v>
      </c>
      <c r="I25" s="5">
        <v>18826678.120000001</v>
      </c>
      <c r="J25" s="6">
        <f t="shared" si="2"/>
        <v>-3489726.6699999981</v>
      </c>
      <c r="K25" s="7">
        <f t="shared" si="3"/>
        <v>84.362505059221064</v>
      </c>
      <c r="L25" s="5">
        <v>19352324.120000001</v>
      </c>
      <c r="M25" s="6">
        <f t="shared" si="4"/>
        <v>525646</v>
      </c>
      <c r="N25" s="7">
        <f t="shared" si="5"/>
        <v>102.79202733827799</v>
      </c>
    </row>
    <row r="26" spans="1:14" ht="30" customHeight="1" x14ac:dyDescent="0.3">
      <c r="A26" s="17" t="s">
        <v>28</v>
      </c>
      <c r="B26" s="4" t="s">
        <v>10</v>
      </c>
      <c r="C26" s="18" t="s">
        <v>29</v>
      </c>
      <c r="D26" s="50">
        <v>4777.8900000000003</v>
      </c>
      <c r="E26" s="51">
        <v>30700</v>
      </c>
      <c r="F26" s="5">
        <v>30700</v>
      </c>
      <c r="G26" s="6">
        <f t="shared" si="1"/>
        <v>0</v>
      </c>
      <c r="H26" s="7">
        <f t="shared" si="0"/>
        <v>100</v>
      </c>
      <c r="I26" s="5">
        <v>30700</v>
      </c>
      <c r="J26" s="6">
        <f t="shared" si="2"/>
        <v>0</v>
      </c>
      <c r="K26" s="7">
        <f t="shared" si="3"/>
        <v>100</v>
      </c>
      <c r="L26" s="5">
        <v>30700</v>
      </c>
      <c r="M26" s="6">
        <f t="shared" si="4"/>
        <v>0</v>
      </c>
      <c r="N26" s="7">
        <f t="shared" si="5"/>
        <v>100</v>
      </c>
    </row>
    <row r="27" spans="1:14" ht="30.6" customHeight="1" x14ac:dyDescent="0.3">
      <c r="A27" s="17" t="s">
        <v>30</v>
      </c>
      <c r="B27" s="4" t="s">
        <v>10</v>
      </c>
      <c r="C27" s="18" t="s">
        <v>31</v>
      </c>
      <c r="D27" s="50">
        <v>106196.32</v>
      </c>
      <c r="E27" s="51">
        <v>659022</v>
      </c>
      <c r="F27" s="5">
        <v>552100</v>
      </c>
      <c r="G27" s="6">
        <f t="shared" si="1"/>
        <v>-106922</v>
      </c>
      <c r="H27" s="7">
        <f t="shared" si="0"/>
        <v>83.775655440941279</v>
      </c>
      <c r="I27" s="5">
        <v>402168</v>
      </c>
      <c r="J27" s="6">
        <f t="shared" si="2"/>
        <v>-149932</v>
      </c>
      <c r="K27" s="7">
        <f t="shared" si="3"/>
        <v>72.84332548451367</v>
      </c>
      <c r="L27" s="5">
        <v>402249</v>
      </c>
      <c r="M27" s="6">
        <f t="shared" si="4"/>
        <v>81</v>
      </c>
      <c r="N27" s="7">
        <f t="shared" si="5"/>
        <v>100.02014083666528</v>
      </c>
    </row>
    <row r="28" spans="1:14" ht="20.100000000000001" customHeight="1" x14ac:dyDescent="0.3">
      <c r="A28" s="15" t="s">
        <v>32</v>
      </c>
      <c r="B28" s="8" t="s">
        <v>12</v>
      </c>
      <c r="C28" s="16"/>
      <c r="D28" s="47">
        <f>D29+D30+D31+D32</f>
        <v>93292941.659999996</v>
      </c>
      <c r="E28" s="48">
        <f>E29+E30+E31+E32</f>
        <v>154391591.96000001</v>
      </c>
      <c r="F28" s="47">
        <f>F29+F30+F31+F32</f>
        <v>114063761.63</v>
      </c>
      <c r="G28" s="10">
        <f t="shared" si="1"/>
        <v>-40327830.330000013</v>
      </c>
      <c r="H28" s="9">
        <f t="shared" si="0"/>
        <v>73.879516482705739</v>
      </c>
      <c r="I28" s="49">
        <f>I29+I30+I31+I32</f>
        <v>98885674.180000007</v>
      </c>
      <c r="J28" s="10">
        <f t="shared" si="2"/>
        <v>-15178087.449999988</v>
      </c>
      <c r="K28" s="9">
        <f t="shared" si="3"/>
        <v>86.69333078876123</v>
      </c>
      <c r="L28" s="49">
        <f>L29+L30+L31+L32</f>
        <v>77686771.900000006</v>
      </c>
      <c r="M28" s="10">
        <f t="shared" si="4"/>
        <v>-21198902.280000001</v>
      </c>
      <c r="N28" s="9">
        <f t="shared" si="5"/>
        <v>78.562210900830806</v>
      </c>
    </row>
    <row r="29" spans="1:14" ht="20.100000000000001" customHeight="1" x14ac:dyDescent="0.3">
      <c r="A29" s="17" t="s">
        <v>33</v>
      </c>
      <c r="B29" s="4" t="s">
        <v>12</v>
      </c>
      <c r="C29" s="18" t="s">
        <v>4</v>
      </c>
      <c r="D29" s="50">
        <v>8869089.5999999996</v>
      </c>
      <c r="E29" s="51">
        <f>95197534.4-28569662.09</f>
        <v>66627872.310000002</v>
      </c>
      <c r="F29" s="5">
        <v>38538405.340000004</v>
      </c>
      <c r="G29" s="6">
        <f t="shared" si="1"/>
        <v>-28089466.969999999</v>
      </c>
      <c r="H29" s="7">
        <f t="shared" si="0"/>
        <v>57.841266730974205</v>
      </c>
      <c r="I29" s="5">
        <v>17306458.5</v>
      </c>
      <c r="J29" s="6">
        <f t="shared" si="2"/>
        <v>-21231946.840000004</v>
      </c>
      <c r="K29" s="7">
        <f t="shared" si="3"/>
        <v>44.907043629117631</v>
      </c>
      <c r="L29" s="5">
        <v>11678091.4</v>
      </c>
      <c r="M29" s="6">
        <f t="shared" si="4"/>
        <v>-5628367.0999999996</v>
      </c>
      <c r="N29" s="7">
        <f t="shared" si="5"/>
        <v>67.478227275672836</v>
      </c>
    </row>
    <row r="30" spans="1:14" ht="48.75" customHeight="1" x14ac:dyDescent="0.3">
      <c r="A30" s="17" t="s">
        <v>34</v>
      </c>
      <c r="B30" s="4" t="s">
        <v>12</v>
      </c>
      <c r="C30" s="18" t="s">
        <v>6</v>
      </c>
      <c r="D30" s="50">
        <v>8501722.2699999996</v>
      </c>
      <c r="E30" s="51">
        <f>20085538.85-11277756.16</f>
        <v>8807782.6900000013</v>
      </c>
      <c r="F30" s="5">
        <f>9618310+350000</f>
        <v>9968310</v>
      </c>
      <c r="G30" s="6">
        <f t="shared" si="1"/>
        <v>1160527.3099999987</v>
      </c>
      <c r="H30" s="7">
        <f t="shared" si="0"/>
        <v>113.17615739223011</v>
      </c>
      <c r="I30" s="5">
        <v>9979193</v>
      </c>
      <c r="J30" s="6">
        <f t="shared" si="2"/>
        <v>10883</v>
      </c>
      <c r="K30" s="7">
        <f t="shared" si="3"/>
        <v>100.10917597867643</v>
      </c>
      <c r="L30" s="5">
        <v>10378285</v>
      </c>
      <c r="M30" s="6">
        <f t="shared" si="4"/>
        <v>399092</v>
      </c>
      <c r="N30" s="7">
        <f t="shared" si="5"/>
        <v>103.99924122120896</v>
      </c>
    </row>
    <row r="31" spans="1:14" ht="30" customHeight="1" x14ac:dyDescent="0.3">
      <c r="A31" s="17" t="s">
        <v>35</v>
      </c>
      <c r="B31" s="4" t="s">
        <v>12</v>
      </c>
      <c r="C31" s="18" t="s">
        <v>8</v>
      </c>
      <c r="D31" s="50">
        <v>11921701.890000001</v>
      </c>
      <c r="E31" s="51">
        <v>17961666.670000002</v>
      </c>
      <c r="F31" s="5">
        <v>9338444</v>
      </c>
      <c r="G31" s="6">
        <f t="shared" si="1"/>
        <v>-8623222.6700000018</v>
      </c>
      <c r="H31" s="7">
        <f t="shared" si="0"/>
        <v>51.990965936347585</v>
      </c>
      <c r="I31" s="5">
        <v>9703516</v>
      </c>
      <c r="J31" s="6">
        <f t="shared" si="2"/>
        <v>365072</v>
      </c>
      <c r="K31" s="7">
        <f t="shared" si="3"/>
        <v>103.9093450686217</v>
      </c>
      <c r="L31" s="5">
        <v>10083659</v>
      </c>
      <c r="M31" s="6">
        <f t="shared" si="4"/>
        <v>380143</v>
      </c>
      <c r="N31" s="7">
        <f t="shared" si="5"/>
        <v>103.91757997822646</v>
      </c>
    </row>
    <row r="32" spans="1:14" ht="34.950000000000003" customHeight="1" x14ac:dyDescent="0.3">
      <c r="A32" s="17" t="s">
        <v>36</v>
      </c>
      <c r="B32" s="4" t="s">
        <v>12</v>
      </c>
      <c r="C32" s="18" t="s">
        <v>12</v>
      </c>
      <c r="D32" s="50">
        <v>64000427.899999999</v>
      </c>
      <c r="E32" s="51">
        <f>57450028.29+3500000+44242</f>
        <v>60994270.289999999</v>
      </c>
      <c r="F32" s="5">
        <f>59892062.29-2907774-515686-250000</f>
        <v>56218602.289999999</v>
      </c>
      <c r="G32" s="6">
        <f t="shared" si="1"/>
        <v>-4775668</v>
      </c>
      <c r="H32" s="7">
        <f t="shared" si="0"/>
        <v>92.170300624478543</v>
      </c>
      <c r="I32" s="5">
        <f>63632403.64-886710.96-599186-250000</f>
        <v>61896506.68</v>
      </c>
      <c r="J32" s="6">
        <f t="shared" si="2"/>
        <v>5677904.3900000006</v>
      </c>
      <c r="K32" s="7">
        <f t="shared" si="3"/>
        <v>110.09968970895238</v>
      </c>
      <c r="L32" s="5">
        <f>45428115.59+799520.95-430900.04-250000</f>
        <v>45546736.500000007</v>
      </c>
      <c r="M32" s="6">
        <f t="shared" si="4"/>
        <v>-16349770.179999992</v>
      </c>
      <c r="N32" s="7">
        <f t="shared" si="5"/>
        <v>73.585310291375578</v>
      </c>
    </row>
    <row r="33" spans="1:14" ht="36.6" customHeight="1" x14ac:dyDescent="0.3">
      <c r="A33" s="15" t="s">
        <v>37</v>
      </c>
      <c r="B33" s="8" t="s">
        <v>38</v>
      </c>
      <c r="C33" s="16"/>
      <c r="D33" s="47">
        <f>D34</f>
        <v>2317500</v>
      </c>
      <c r="E33" s="48">
        <f>E34</f>
        <v>2763612.6</v>
      </c>
      <c r="F33" s="47">
        <f>F34</f>
        <v>60000</v>
      </c>
      <c r="G33" s="10">
        <f t="shared" si="1"/>
        <v>-2703612.6</v>
      </c>
      <c r="H33" s="9">
        <f t="shared" si="0"/>
        <v>2.1710712999354542</v>
      </c>
      <c r="I33" s="49">
        <f>I34</f>
        <v>60000</v>
      </c>
      <c r="J33" s="10">
        <f t="shared" si="2"/>
        <v>0</v>
      </c>
      <c r="K33" s="9">
        <f t="shared" si="3"/>
        <v>100</v>
      </c>
      <c r="L33" s="49">
        <f>L34</f>
        <v>60000</v>
      </c>
      <c r="M33" s="10">
        <f t="shared" si="4"/>
        <v>0</v>
      </c>
      <c r="N33" s="9">
        <f t="shared" si="5"/>
        <v>100</v>
      </c>
    </row>
    <row r="34" spans="1:14" ht="20.100000000000001" customHeight="1" x14ac:dyDescent="0.3">
      <c r="A34" s="17" t="s">
        <v>39</v>
      </c>
      <c r="B34" s="4" t="s">
        <v>38</v>
      </c>
      <c r="C34" s="18" t="s">
        <v>12</v>
      </c>
      <c r="D34" s="50">
        <v>2317500</v>
      </c>
      <c r="E34" s="51">
        <v>2763612.6</v>
      </c>
      <c r="F34" s="5">
        <v>60000</v>
      </c>
      <c r="G34" s="6">
        <f t="shared" si="1"/>
        <v>-2703612.6</v>
      </c>
      <c r="H34" s="7">
        <f t="shared" si="0"/>
        <v>2.1710712999354542</v>
      </c>
      <c r="I34" s="5">
        <v>60000</v>
      </c>
      <c r="J34" s="6">
        <f t="shared" si="2"/>
        <v>0</v>
      </c>
      <c r="K34" s="7">
        <f t="shared" si="3"/>
        <v>100</v>
      </c>
      <c r="L34" s="5">
        <v>60000</v>
      </c>
      <c r="M34" s="6">
        <f t="shared" si="4"/>
        <v>0</v>
      </c>
      <c r="N34" s="7">
        <f t="shared" si="5"/>
        <v>100</v>
      </c>
    </row>
    <row r="35" spans="1:14" ht="20.100000000000001" customHeight="1" x14ac:dyDescent="0.3">
      <c r="A35" s="15" t="s">
        <v>40</v>
      </c>
      <c r="B35" s="8" t="s">
        <v>41</v>
      </c>
      <c r="C35" s="16"/>
      <c r="D35" s="47">
        <f>D36+D37+D38+D39+D40</f>
        <v>244180293.48999998</v>
      </c>
      <c r="E35" s="48">
        <f>E36+E37+E38+E39+E40</f>
        <v>279016074.82999998</v>
      </c>
      <c r="F35" s="47">
        <f>F36+F37+F38+F39+F40</f>
        <v>290004728.13</v>
      </c>
      <c r="G35" s="10">
        <f t="shared" si="1"/>
        <v>10988653.300000012</v>
      </c>
      <c r="H35" s="9">
        <f t="shared" si="0"/>
        <v>103.93835850020298</v>
      </c>
      <c r="I35" s="49">
        <f>I36+I37+I38+I39+I40</f>
        <v>280171639.25999999</v>
      </c>
      <c r="J35" s="10">
        <f t="shared" si="2"/>
        <v>-9833088.8700000048</v>
      </c>
      <c r="K35" s="9">
        <f t="shared" si="3"/>
        <v>96.609334981051703</v>
      </c>
      <c r="L35" s="49">
        <f>L36+L37+L38+L39+L40</f>
        <v>280967102.94999999</v>
      </c>
      <c r="M35" s="10">
        <f t="shared" si="4"/>
        <v>795463.68999999762</v>
      </c>
      <c r="N35" s="9">
        <f t="shared" si="5"/>
        <v>100.28392013270901</v>
      </c>
    </row>
    <row r="36" spans="1:14" ht="20.100000000000001" customHeight="1" x14ac:dyDescent="0.3">
      <c r="A36" s="17" t="s">
        <v>42</v>
      </c>
      <c r="B36" s="4" t="s">
        <v>41</v>
      </c>
      <c r="C36" s="18" t="s">
        <v>4</v>
      </c>
      <c r="D36" s="50">
        <v>90330809.769999996</v>
      </c>
      <c r="E36" s="51">
        <f>97308672.21+10000000+700000</f>
        <v>108008672.20999999</v>
      </c>
      <c r="F36" s="11">
        <v>98069451.739999995</v>
      </c>
      <c r="G36" s="6">
        <f t="shared" si="1"/>
        <v>-9939220.4699999988</v>
      </c>
      <c r="H36" s="7">
        <f t="shared" si="0"/>
        <v>90.797757007256521</v>
      </c>
      <c r="I36" s="11">
        <v>98499044.670000002</v>
      </c>
      <c r="J36" s="6">
        <f t="shared" si="2"/>
        <v>429592.93000000715</v>
      </c>
      <c r="K36" s="7">
        <f t="shared" si="3"/>
        <v>100.4380496906814</v>
      </c>
      <c r="L36" s="11">
        <v>100487383.27</v>
      </c>
      <c r="M36" s="6">
        <f t="shared" si="4"/>
        <v>1988338.599999994</v>
      </c>
      <c r="N36" s="7">
        <f t="shared" si="5"/>
        <v>102.01863744634427</v>
      </c>
    </row>
    <row r="37" spans="1:14" ht="20.100000000000001" customHeight="1" x14ac:dyDescent="0.3">
      <c r="A37" s="17" t="s">
        <v>43</v>
      </c>
      <c r="B37" s="4" t="s">
        <v>41</v>
      </c>
      <c r="C37" s="18" t="s">
        <v>6</v>
      </c>
      <c r="D37" s="50">
        <v>102688269.5</v>
      </c>
      <c r="E37" s="51">
        <f>110450704.78+5855000-38200+587000</f>
        <v>116854504.78</v>
      </c>
      <c r="F37" s="11">
        <v>130791844.81999999</v>
      </c>
      <c r="G37" s="6">
        <f t="shared" si="1"/>
        <v>13937340.039999992</v>
      </c>
      <c r="H37" s="7">
        <f t="shared" si="0"/>
        <v>111.9270883619246</v>
      </c>
      <c r="I37" s="11">
        <v>128681563.94</v>
      </c>
      <c r="J37" s="6">
        <f t="shared" si="2"/>
        <v>-2110280.8799999952</v>
      </c>
      <c r="K37" s="7">
        <f t="shared" si="3"/>
        <v>98.386534815756875</v>
      </c>
      <c r="L37" s="11">
        <v>129256582.62</v>
      </c>
      <c r="M37" s="6">
        <f t="shared" si="4"/>
        <v>575018.68000000715</v>
      </c>
      <c r="N37" s="7">
        <f t="shared" si="5"/>
        <v>100.446853972235</v>
      </c>
    </row>
    <row r="38" spans="1:14" ht="27.6" customHeight="1" x14ac:dyDescent="0.3">
      <c r="A38" s="17" t="s">
        <v>44</v>
      </c>
      <c r="B38" s="4" t="s">
        <v>41</v>
      </c>
      <c r="C38" s="18" t="s">
        <v>8</v>
      </c>
      <c r="D38" s="50">
        <v>29635326.100000001</v>
      </c>
      <c r="E38" s="51">
        <f>31156513.74+600000</f>
        <v>31756513.739999998</v>
      </c>
      <c r="F38" s="11">
        <v>32033612.98</v>
      </c>
      <c r="G38" s="6">
        <f t="shared" si="1"/>
        <v>277099.24000000209</v>
      </c>
      <c r="H38" s="7">
        <f t="shared" si="0"/>
        <v>100.87257449690068</v>
      </c>
      <c r="I38" s="11">
        <v>36700527.369999997</v>
      </c>
      <c r="J38" s="6">
        <f t="shared" si="2"/>
        <v>4666914.3899999969</v>
      </c>
      <c r="K38" s="7">
        <f t="shared" si="3"/>
        <v>114.56880431474825</v>
      </c>
      <c r="L38" s="11">
        <v>37366608.240000002</v>
      </c>
      <c r="M38" s="6">
        <f t="shared" si="4"/>
        <v>666080.87000000477</v>
      </c>
      <c r="N38" s="7">
        <f t="shared" si="5"/>
        <v>101.81490817089586</v>
      </c>
    </row>
    <row r="39" spans="1:14" ht="27" customHeight="1" x14ac:dyDescent="0.3">
      <c r="A39" s="17" t="s">
        <v>45</v>
      </c>
      <c r="B39" s="4" t="s">
        <v>41</v>
      </c>
      <c r="C39" s="18" t="s">
        <v>41</v>
      </c>
      <c r="D39" s="50">
        <v>415493.69</v>
      </c>
      <c r="E39" s="51">
        <v>1429139.42</v>
      </c>
      <c r="F39" s="5">
        <v>1520727.94</v>
      </c>
      <c r="G39" s="6">
        <f t="shared" si="1"/>
        <v>91588.520000000019</v>
      </c>
      <c r="H39" s="7">
        <f t="shared" si="0"/>
        <v>106.40864835986402</v>
      </c>
      <c r="I39" s="5">
        <v>1520727.94</v>
      </c>
      <c r="J39" s="6">
        <f t="shared" si="2"/>
        <v>0</v>
      </c>
      <c r="K39" s="7">
        <f t="shared" si="3"/>
        <v>100</v>
      </c>
      <c r="L39" s="5">
        <v>1520727.94</v>
      </c>
      <c r="M39" s="6">
        <f t="shared" si="4"/>
        <v>0</v>
      </c>
      <c r="N39" s="7">
        <f t="shared" si="5"/>
        <v>100</v>
      </c>
    </row>
    <row r="40" spans="1:14" ht="34.950000000000003" customHeight="1" x14ac:dyDescent="0.3">
      <c r="A40" s="17" t="s">
        <v>46</v>
      </c>
      <c r="B40" s="4" t="s">
        <v>41</v>
      </c>
      <c r="C40" s="18" t="s">
        <v>22</v>
      </c>
      <c r="D40" s="50">
        <v>21110394.43</v>
      </c>
      <c r="E40" s="51">
        <f>23823904.68-2856660</f>
        <v>20967244.68</v>
      </c>
      <c r="F40" s="5">
        <f>28337090.65-748000</f>
        <v>27589090.649999999</v>
      </c>
      <c r="G40" s="6">
        <f t="shared" si="1"/>
        <v>6621845.9699999988</v>
      </c>
      <c r="H40" s="7">
        <f t="shared" si="0"/>
        <v>131.58186052131288</v>
      </c>
      <c r="I40" s="5">
        <v>14769775.34</v>
      </c>
      <c r="J40" s="6">
        <f t="shared" si="2"/>
        <v>-12819315.309999999</v>
      </c>
      <c r="K40" s="7">
        <f t="shared" si="3"/>
        <v>53.534839286194455</v>
      </c>
      <c r="L40" s="5">
        <v>12335800.880000001</v>
      </c>
      <c r="M40" s="6">
        <f t="shared" si="4"/>
        <v>-2433974.459999999</v>
      </c>
      <c r="N40" s="7">
        <f t="shared" si="5"/>
        <v>83.520572222867685</v>
      </c>
    </row>
    <row r="41" spans="1:14" ht="20.100000000000001" customHeight="1" x14ac:dyDescent="0.3">
      <c r="A41" s="15" t="s">
        <v>47</v>
      </c>
      <c r="B41" s="8" t="s">
        <v>48</v>
      </c>
      <c r="C41" s="16"/>
      <c r="D41" s="47">
        <f>D42</f>
        <v>9756611.9000000004</v>
      </c>
      <c r="E41" s="48">
        <f>E42</f>
        <v>11925808.16</v>
      </c>
      <c r="F41" s="47">
        <f>F42</f>
        <v>14349475.66</v>
      </c>
      <c r="G41" s="10">
        <f t="shared" si="1"/>
        <v>2423667.5</v>
      </c>
      <c r="H41" s="9">
        <f t="shared" si="0"/>
        <v>120.32287847903802</v>
      </c>
      <c r="I41" s="49">
        <f>I42</f>
        <v>12530511.189999999</v>
      </c>
      <c r="J41" s="10">
        <f t="shared" si="2"/>
        <v>-1818964.4700000007</v>
      </c>
      <c r="K41" s="9">
        <f t="shared" si="3"/>
        <v>87.323826228226096</v>
      </c>
      <c r="L41" s="49">
        <f>L42</f>
        <v>12530538.029999999</v>
      </c>
      <c r="M41" s="10">
        <f t="shared" si="4"/>
        <v>26.839999999850988</v>
      </c>
      <c r="N41" s="9">
        <f t="shared" si="5"/>
        <v>100.00021419716715</v>
      </c>
    </row>
    <row r="42" spans="1:14" ht="20.100000000000001" customHeight="1" x14ac:dyDescent="0.3">
      <c r="A42" s="17" t="s">
        <v>49</v>
      </c>
      <c r="B42" s="4" t="s">
        <v>48</v>
      </c>
      <c r="C42" s="18" t="s">
        <v>4</v>
      </c>
      <c r="D42" s="50">
        <v>9756611.9000000004</v>
      </c>
      <c r="E42" s="51">
        <f>11425808.16+500000</f>
        <v>11925808.16</v>
      </c>
      <c r="F42" s="5">
        <f>13601475.66+748000</f>
        <v>14349475.66</v>
      </c>
      <c r="G42" s="6">
        <f t="shared" si="1"/>
        <v>2423667.5</v>
      </c>
      <c r="H42" s="7">
        <f t="shared" si="0"/>
        <v>120.32287847903802</v>
      </c>
      <c r="I42" s="5">
        <v>12530511.189999999</v>
      </c>
      <c r="J42" s="6">
        <f t="shared" si="2"/>
        <v>-1818964.4700000007</v>
      </c>
      <c r="K42" s="7">
        <f t="shared" si="3"/>
        <v>87.323826228226096</v>
      </c>
      <c r="L42" s="5">
        <v>12530538.029999999</v>
      </c>
      <c r="M42" s="6">
        <f t="shared" si="4"/>
        <v>26.839999999850988</v>
      </c>
      <c r="N42" s="7">
        <f t="shared" si="5"/>
        <v>100.00021419716715</v>
      </c>
    </row>
    <row r="43" spans="1:14" ht="36" customHeight="1" x14ac:dyDescent="0.3">
      <c r="A43" s="15" t="s">
        <v>50</v>
      </c>
      <c r="B43" s="8" t="s">
        <v>29</v>
      </c>
      <c r="C43" s="16"/>
      <c r="D43" s="47">
        <f>D44+D45+D46</f>
        <v>19275677.309999999</v>
      </c>
      <c r="E43" s="48">
        <f>E44+E45+E46</f>
        <v>22625200</v>
      </c>
      <c r="F43" s="47">
        <f>F44+F45+F46</f>
        <v>23901732</v>
      </c>
      <c r="G43" s="10">
        <f t="shared" si="1"/>
        <v>1276532</v>
      </c>
      <c r="H43" s="9">
        <f t="shared" si="0"/>
        <v>105.64208051199549</v>
      </c>
      <c r="I43" s="49">
        <f>I44+I45+I46</f>
        <v>24452150</v>
      </c>
      <c r="J43" s="10">
        <f t="shared" si="2"/>
        <v>550418</v>
      </c>
      <c r="K43" s="9">
        <f t="shared" si="3"/>
        <v>102.3028373006609</v>
      </c>
      <c r="L43" s="49">
        <f>L44+L45+L46</f>
        <v>24671872</v>
      </c>
      <c r="M43" s="10">
        <f t="shared" si="4"/>
        <v>219722</v>
      </c>
      <c r="N43" s="9">
        <f t="shared" si="5"/>
        <v>100.89857947051691</v>
      </c>
    </row>
    <row r="44" spans="1:14" ht="20.100000000000001" customHeight="1" x14ac:dyDescent="0.3">
      <c r="A44" s="17" t="s">
        <v>51</v>
      </c>
      <c r="B44" s="4" t="s">
        <v>29</v>
      </c>
      <c r="C44" s="18" t="s">
        <v>4</v>
      </c>
      <c r="D44" s="50">
        <v>104836.53</v>
      </c>
      <c r="E44" s="51">
        <v>112000</v>
      </c>
      <c r="F44" s="5">
        <v>112000</v>
      </c>
      <c r="G44" s="6">
        <f t="shared" si="1"/>
        <v>0</v>
      </c>
      <c r="H44" s="7">
        <f t="shared" si="0"/>
        <v>100</v>
      </c>
      <c r="I44" s="5">
        <v>112000</v>
      </c>
      <c r="J44" s="6">
        <f t="shared" si="2"/>
        <v>0</v>
      </c>
      <c r="K44" s="7">
        <f t="shared" si="3"/>
        <v>100</v>
      </c>
      <c r="L44" s="5">
        <v>112000</v>
      </c>
      <c r="M44" s="6">
        <f t="shared" si="4"/>
        <v>0</v>
      </c>
      <c r="N44" s="7">
        <f t="shared" si="5"/>
        <v>100</v>
      </c>
    </row>
    <row r="45" spans="1:14" ht="25.95" customHeight="1" x14ac:dyDescent="0.3">
      <c r="A45" s="17" t="s">
        <v>52</v>
      </c>
      <c r="B45" s="4" t="s">
        <v>29</v>
      </c>
      <c r="C45" s="18" t="s">
        <v>8</v>
      </c>
      <c r="D45" s="50">
        <v>10885473.640000001</v>
      </c>
      <c r="E45" s="51">
        <f>12231200-107600</f>
        <v>12123600</v>
      </c>
      <c r="F45" s="5">
        <v>12512600</v>
      </c>
      <c r="G45" s="6">
        <f t="shared" si="1"/>
        <v>389000</v>
      </c>
      <c r="H45" s="7">
        <f t="shared" si="0"/>
        <v>103.20861790227325</v>
      </c>
      <c r="I45" s="5">
        <v>12720800</v>
      </c>
      <c r="J45" s="6">
        <f t="shared" si="2"/>
        <v>208200</v>
      </c>
      <c r="K45" s="7">
        <f t="shared" si="3"/>
        <v>101.66392276585201</v>
      </c>
      <c r="L45" s="5">
        <v>12721200</v>
      </c>
      <c r="M45" s="6">
        <f t="shared" si="4"/>
        <v>400</v>
      </c>
      <c r="N45" s="7">
        <f t="shared" si="5"/>
        <v>100.0031444563235</v>
      </c>
    </row>
    <row r="46" spans="1:14" ht="31.95" customHeight="1" x14ac:dyDescent="0.3">
      <c r="A46" s="17" t="s">
        <v>53</v>
      </c>
      <c r="B46" s="4" t="s">
        <v>29</v>
      </c>
      <c r="C46" s="18" t="s">
        <v>10</v>
      </c>
      <c r="D46" s="50">
        <v>8285367.1399999997</v>
      </c>
      <c r="E46" s="51">
        <f>9900800-800-17300-692700+1199600</f>
        <v>10389600</v>
      </c>
      <c r="F46" s="5">
        <v>11277132</v>
      </c>
      <c r="G46" s="6">
        <f t="shared" si="1"/>
        <v>887532</v>
      </c>
      <c r="H46" s="7">
        <f t="shared" si="0"/>
        <v>108.54250404250405</v>
      </c>
      <c r="I46" s="5">
        <v>11619350</v>
      </c>
      <c r="J46" s="6">
        <f t="shared" si="2"/>
        <v>342218</v>
      </c>
      <c r="K46" s="7">
        <f t="shared" si="3"/>
        <v>103.03461908577465</v>
      </c>
      <c r="L46" s="5">
        <v>11838672</v>
      </c>
      <c r="M46" s="6">
        <f t="shared" si="4"/>
        <v>219322</v>
      </c>
      <c r="N46" s="7">
        <f t="shared" si="5"/>
        <v>101.88755825411921</v>
      </c>
    </row>
    <row r="47" spans="1:14" ht="20.100000000000001" customHeight="1" x14ac:dyDescent="0.3">
      <c r="A47" s="15" t="s">
        <v>54</v>
      </c>
      <c r="B47" s="8" t="s">
        <v>14</v>
      </c>
      <c r="C47" s="16"/>
      <c r="D47" s="47">
        <f>D48+D49</f>
        <v>28802094.900000002</v>
      </c>
      <c r="E47" s="48">
        <f>E48+E49</f>
        <v>32212615.649999999</v>
      </c>
      <c r="F47" s="47">
        <f>F48+F49</f>
        <v>37623077.689999998</v>
      </c>
      <c r="G47" s="10">
        <f t="shared" si="1"/>
        <v>5410462.0399999991</v>
      </c>
      <c r="H47" s="9">
        <f t="shared" si="0"/>
        <v>116.79609659391319</v>
      </c>
      <c r="I47" s="49">
        <f>I48+I49</f>
        <v>31310181.350000001</v>
      </c>
      <c r="J47" s="10">
        <f t="shared" si="2"/>
        <v>-6312896.3399999961</v>
      </c>
      <c r="K47" s="9">
        <f t="shared" si="3"/>
        <v>83.220680689613204</v>
      </c>
      <c r="L47" s="49">
        <f>L48+L49</f>
        <v>31273269.09</v>
      </c>
      <c r="M47" s="10">
        <f t="shared" si="4"/>
        <v>-36912.260000001639</v>
      </c>
      <c r="N47" s="9">
        <f t="shared" si="5"/>
        <v>99.882107805166072</v>
      </c>
    </row>
    <row r="48" spans="1:14" ht="28.2" customHeight="1" x14ac:dyDescent="0.3">
      <c r="A48" s="17" t="s">
        <v>55</v>
      </c>
      <c r="B48" s="4" t="s">
        <v>14</v>
      </c>
      <c r="C48" s="18" t="s">
        <v>4</v>
      </c>
      <c r="D48" s="50">
        <v>80970.350000000006</v>
      </c>
      <c r="E48" s="51">
        <v>185000</v>
      </c>
      <c r="F48" s="5">
        <v>140000</v>
      </c>
      <c r="G48" s="6">
        <f t="shared" si="1"/>
        <v>-45000</v>
      </c>
      <c r="H48" s="7">
        <f t="shared" si="0"/>
        <v>75.675675675675677</v>
      </c>
      <c r="I48" s="5">
        <v>140000</v>
      </c>
      <c r="J48" s="6">
        <f t="shared" si="2"/>
        <v>0</v>
      </c>
      <c r="K48" s="7">
        <f t="shared" si="3"/>
        <v>100</v>
      </c>
      <c r="L48" s="5">
        <v>140000</v>
      </c>
      <c r="M48" s="6">
        <f t="shared" si="4"/>
        <v>0</v>
      </c>
      <c r="N48" s="7">
        <f t="shared" si="5"/>
        <v>100</v>
      </c>
    </row>
    <row r="49" spans="1:14" ht="17.25" customHeight="1" x14ac:dyDescent="0.3">
      <c r="A49" s="17" t="s">
        <v>56</v>
      </c>
      <c r="B49" s="4" t="s">
        <v>14</v>
      </c>
      <c r="C49" s="18" t="s">
        <v>6</v>
      </c>
      <c r="D49" s="50">
        <v>28721124.550000001</v>
      </c>
      <c r="E49" s="51">
        <v>32027615.649999999</v>
      </c>
      <c r="F49" s="5">
        <v>37483077.689999998</v>
      </c>
      <c r="G49" s="6">
        <f t="shared" si="1"/>
        <v>5455462.0399999991</v>
      </c>
      <c r="H49" s="7">
        <f t="shared" si="0"/>
        <v>117.03361904806673</v>
      </c>
      <c r="I49" s="5">
        <v>31170181.350000001</v>
      </c>
      <c r="J49" s="6">
        <f t="shared" si="2"/>
        <v>-6312896.3399999961</v>
      </c>
      <c r="K49" s="7">
        <f t="shared" si="3"/>
        <v>83.158009616472356</v>
      </c>
      <c r="L49" s="5">
        <v>31133269.09</v>
      </c>
      <c r="M49" s="6">
        <f t="shared" si="4"/>
        <v>-36912.260000001639</v>
      </c>
      <c r="N49" s="7">
        <f t="shared" si="5"/>
        <v>99.881578295661726</v>
      </c>
    </row>
    <row r="50" spans="1:14" ht="27" customHeight="1" x14ac:dyDescent="0.3">
      <c r="A50" s="15" t="s">
        <v>57</v>
      </c>
      <c r="B50" s="8" t="s">
        <v>31</v>
      </c>
      <c r="C50" s="16"/>
      <c r="D50" s="47">
        <f>D51</f>
        <v>5351044.8899999997</v>
      </c>
      <c r="E50" s="48">
        <f>E51</f>
        <v>5541932.9400000004</v>
      </c>
      <c r="F50" s="12">
        <f>F51</f>
        <v>5597463.2999999998</v>
      </c>
      <c r="G50" s="49">
        <f>F50-E50</f>
        <v>55530.359999999404</v>
      </c>
      <c r="H50" s="9">
        <f t="shared" si="0"/>
        <v>101.00200346343418</v>
      </c>
      <c r="I50" s="12">
        <f>I51</f>
        <v>5676396.6299999999</v>
      </c>
      <c r="J50" s="10">
        <f t="shared" si="2"/>
        <v>78933.330000000075</v>
      </c>
      <c r="K50" s="9">
        <f t="shared" si="3"/>
        <v>101.41016252844391</v>
      </c>
      <c r="L50" s="12">
        <f>L51</f>
        <v>5699550.5199999996</v>
      </c>
      <c r="M50" s="10">
        <f t="shared" si="4"/>
        <v>23153.889999999665</v>
      </c>
      <c r="N50" s="9">
        <f t="shared" si="5"/>
        <v>100.40789767715721</v>
      </c>
    </row>
    <row r="51" spans="1:14" ht="30" customHeight="1" x14ac:dyDescent="0.3">
      <c r="A51" s="17" t="s">
        <v>62</v>
      </c>
      <c r="B51" s="4" t="s">
        <v>31</v>
      </c>
      <c r="C51" s="18" t="s">
        <v>6</v>
      </c>
      <c r="D51" s="50">
        <v>5351044.8899999997</v>
      </c>
      <c r="E51" s="51">
        <v>5541932.9400000004</v>
      </c>
      <c r="F51" s="5">
        <v>5597463.2999999998</v>
      </c>
      <c r="G51" s="6">
        <f>F51-E51</f>
        <v>55530.359999999404</v>
      </c>
      <c r="H51" s="7">
        <f t="shared" si="0"/>
        <v>101.00200346343418</v>
      </c>
      <c r="I51" s="5">
        <v>5676396.6299999999</v>
      </c>
      <c r="J51" s="6">
        <f t="shared" si="2"/>
        <v>78933.330000000075</v>
      </c>
      <c r="K51" s="7">
        <f t="shared" si="3"/>
        <v>101.41016252844391</v>
      </c>
      <c r="L51" s="5">
        <v>5699550.5199999996</v>
      </c>
      <c r="M51" s="6">
        <f t="shared" si="4"/>
        <v>23153.889999999665</v>
      </c>
      <c r="N51" s="7">
        <f t="shared" si="5"/>
        <v>100.40789767715721</v>
      </c>
    </row>
    <row r="52" spans="1:14" ht="39.6" x14ac:dyDescent="0.3">
      <c r="A52" s="15" t="s">
        <v>76</v>
      </c>
      <c r="B52" s="8">
        <v>13</v>
      </c>
      <c r="C52" s="16"/>
      <c r="D52" s="47">
        <f>D53</f>
        <v>0</v>
      </c>
      <c r="E52" s="48">
        <f>E53</f>
        <v>0</v>
      </c>
      <c r="F52" s="12">
        <f>F53</f>
        <v>0</v>
      </c>
      <c r="G52" s="49">
        <f>F52-E52</f>
        <v>0</v>
      </c>
      <c r="H52" s="9">
        <v>0</v>
      </c>
      <c r="I52" s="12">
        <f>I53</f>
        <v>0</v>
      </c>
      <c r="J52" s="10">
        <f t="shared" si="2"/>
        <v>0</v>
      </c>
      <c r="K52" s="9">
        <v>0</v>
      </c>
      <c r="L52" s="12">
        <f>L53</f>
        <v>325142.93</v>
      </c>
      <c r="M52" s="10">
        <f t="shared" si="4"/>
        <v>325142.93</v>
      </c>
      <c r="N52" s="9">
        <v>0</v>
      </c>
    </row>
    <row r="53" spans="1:14" ht="39.6" x14ac:dyDescent="0.3">
      <c r="A53" s="17" t="s">
        <v>77</v>
      </c>
      <c r="B53" s="4">
        <v>13</v>
      </c>
      <c r="C53" s="18" t="s">
        <v>4</v>
      </c>
      <c r="D53" s="50">
        <v>0</v>
      </c>
      <c r="E53" s="51">
        <v>0</v>
      </c>
      <c r="F53" s="5">
        <v>0</v>
      </c>
      <c r="G53" s="6">
        <v>0</v>
      </c>
      <c r="H53" s="7">
        <v>0</v>
      </c>
      <c r="I53" s="5">
        <v>0</v>
      </c>
      <c r="J53" s="6">
        <f t="shared" si="2"/>
        <v>0</v>
      </c>
      <c r="K53" s="7">
        <v>0</v>
      </c>
      <c r="L53" s="5">
        <v>325142.93</v>
      </c>
      <c r="M53" s="6">
        <f t="shared" si="4"/>
        <v>325142.93</v>
      </c>
      <c r="N53" s="7">
        <v>0</v>
      </c>
    </row>
    <row r="54" spans="1:14" ht="16.2" thickBot="1" x14ac:dyDescent="0.35">
      <c r="A54" s="24" t="s">
        <v>58</v>
      </c>
      <c r="B54" s="25"/>
      <c r="C54" s="26"/>
      <c r="D54" s="54">
        <f>D50+D47+D43+D41+D35+D33+D28+D23+D19+D17+D8+D52</f>
        <v>510824967.6099999</v>
      </c>
      <c r="E54" s="55">
        <f>E50+E47+E43+E41+E35+E33+E28+E23+E19+E17+E8+E52</f>
        <v>625074552.30999994</v>
      </c>
      <c r="F54" s="54">
        <f>F50+F47+F43+F41+F35+F33+F28+F23+F19+F17+F8+F52</f>
        <v>618864388.11000001</v>
      </c>
      <c r="G54" s="13">
        <f>F54-E54</f>
        <v>-6210164.1999999285</v>
      </c>
      <c r="H54" s="14">
        <f t="shared" si="0"/>
        <v>99.006492237277953</v>
      </c>
      <c r="I54" s="54">
        <f>I50+I47+I43+I41+I35+I33+I28+I23+I19+I17+I8+I52</f>
        <v>574597478.26999998</v>
      </c>
      <c r="J54" s="13">
        <f>I54-F54</f>
        <v>-44266909.840000033</v>
      </c>
      <c r="K54" s="14">
        <f>I54/F54*100</f>
        <v>92.847074304082938</v>
      </c>
      <c r="L54" s="54">
        <f>L50+L47+L43+L41+L35+L33+L28+L23+L19+L17+L8+L52</f>
        <v>555487005.77999997</v>
      </c>
      <c r="M54" s="13">
        <f t="shared" si="4"/>
        <v>-19110472.49000001</v>
      </c>
      <c r="N54" s="14">
        <f t="shared" si="5"/>
        <v>96.674111319190274</v>
      </c>
    </row>
  </sheetData>
  <mergeCells count="20">
    <mergeCell ref="K6:K7"/>
    <mergeCell ref="I5:K5"/>
    <mergeCell ref="L5:N5"/>
    <mergeCell ref="N6:N7"/>
    <mergeCell ref="K1:N1"/>
    <mergeCell ref="J2:N2"/>
    <mergeCell ref="M6:M7"/>
    <mergeCell ref="A3:N3"/>
    <mergeCell ref="A5:A7"/>
    <mergeCell ref="B5:B7"/>
    <mergeCell ref="C5:C7"/>
    <mergeCell ref="D5:D7"/>
    <mergeCell ref="L6:L7"/>
    <mergeCell ref="F6:F7"/>
    <mergeCell ref="G6:G7"/>
    <mergeCell ref="E5:E7"/>
    <mergeCell ref="F5:H5"/>
    <mergeCell ref="H6:H7"/>
    <mergeCell ref="I6:I7"/>
    <mergeCell ref="J6:J7"/>
  </mergeCells>
  <pageMargins left="0.11811023622047245" right="0" top="0.94488188976377963" bottom="0.15748031496062992" header="0.31496062992125984" footer="0.31496062992125984"/>
  <pageSetup paperSize="9" scale="82" orientation="landscape" horizontalDpi="4294967295" verticalDpi="4294967295" r:id="rId1"/>
  <rowBreaks count="2" manualBreakCount="2">
    <brk id="14" max="16383" man="1"/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стр.расходов Прил.1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2021-12-14T15:12:21Z</dcterms:modified>
</cp:coreProperties>
</file>