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228" windowWidth="9720" windowHeight="10896" activeTab="0"/>
  </bookViews>
  <sheets>
    <sheet name="2016" sheetId="1" r:id="rId1"/>
  </sheets>
  <definedNames>
    <definedName name="_xlnm._FilterDatabase" localSheetId="0" hidden="1">'2016'!$A$10:$AD$147</definedName>
    <definedName name="_xlnm.Print_Titles" localSheetId="0">'2016'!$10:$10</definedName>
    <definedName name="_xlnm.Print_Area" localSheetId="0">'2016'!$A$1:$O$145</definedName>
  </definedNames>
  <calcPr fullCalcOnLoad="1"/>
</workbook>
</file>

<file path=xl/sharedStrings.xml><?xml version="1.0" encoding="utf-8"?>
<sst xmlns="http://schemas.openxmlformats.org/spreadsheetml/2006/main" count="269" uniqueCount="242">
  <si>
    <t>000 2 02 00000 00 0000 000</t>
  </si>
  <si>
    <t>Единый налог на вмененный доход для отдельных видов деятельности</t>
  </si>
  <si>
    <t>000 1 08 03010 01 0000 110</t>
  </si>
  <si>
    <t>000 1 11 05024 04 0000 120</t>
  </si>
  <si>
    <t>000 1 11 05034 04 0000 120</t>
  </si>
  <si>
    <t>Прочие поступления от денежных взысканий (штрафов) и иных сумм в возмещение ущерба, зачисляемые в бюджеты городских округов</t>
  </si>
  <si>
    <t>000 1 16 90040 04 0000 140</t>
  </si>
  <si>
    <t>000 1 05 02000 02 0000 110</t>
  </si>
  <si>
    <t>Прочие поступления от денежных взысканий (штрафов) и иных сумм в возмещение ущерба</t>
  </si>
  <si>
    <t>000 1 16 90000 00 0000 140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</si>
  <si>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</si>
  <si>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</si>
  <si>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</si>
  <si>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</si>
  <si>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</si>
  <si>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</si>
  <si>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</si>
  <si>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</si>
  <si>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</si>
  <si>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</si>
  <si>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Дотации бюджетам субъектов Российской Федерации и муниципальных образований</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</si>
  <si>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</si>
  <si>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</si>
  <si>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</si>
  <si>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</si>
  <si>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</si>
  <si>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</si>
  <si>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</si>
  <si>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</si>
  <si>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</si>
  <si>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Субвенции бюджетам на осуществление первичного воинского учета на территориях, где отсутствуют военные комиссариаты</t>
  </si>
  <si>
    <t>000 2 02 03015 00 0000 151</t>
  </si>
  <si>
    <t>000 2 02 03015 04 0000 151</t>
  </si>
  <si>
    <t>Прочие субвенции</t>
  </si>
  <si>
    <t>000 2 02 03999 00 0000 151</t>
  </si>
  <si>
    <t>000 2 02 03999 04 0000 151</t>
  </si>
  <si>
    <t>Межбюджетные трансферты, передаваемые бюджетам на переселение граждан из закрытых административно-территориальных образований</t>
  </si>
  <si>
    <t>000 2 02 04010 00 0000 151</t>
  </si>
  <si>
    <t>000 2 02 04010 04 0000 151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</si>
  <si>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</si>
  <si>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</si>
  <si>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</si>
  <si>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</si>
  <si>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</si>
  <si>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</si>
  <si>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</si>
  <si>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</si>
  <si>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</si>
  <si>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</si>
  <si>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</si>
  <si>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</si>
  <si>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</si>
  <si>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</si>
  <si>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</si>
  <si>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</si>
  <si>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</si>
  <si>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</si>
  <si>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</si>
  <si>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</si>
  <si>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</si>
  <si>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</si>
  <si>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</si>
  <si>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000 1 17 00000 00 0000 000</t>
  </si>
  <si>
    <t>ПРОЧИЕ НЕНАЛОГОВЫЕ ДОХОДЫ</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</si>
  <si>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</si>
  <si>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</si>
  <si>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</si>
  <si>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</si>
  <si>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</si>
  <si>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</si>
  <si>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</si>
  <si>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</si>
  <si>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</si>
  <si>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</si>
  <si>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</si>
  <si>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</si>
  <si>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</si>
  <si>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</si>
  <si>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</si>
  <si>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</si>
  <si>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</si>
  <si>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000 1 05 01012 01 0000 110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</si>
  <si>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</si>
  <si>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</si>
  <si>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</si>
  <si>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</si>
  <si>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</si>
  <si>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</si>
  <si>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000 1 03 02260 01 0000 110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</si>
  <si>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</si>
  <si>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</si>
  <si>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</si>
  <si>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</si>
  <si>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</si>
  <si>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</si>
  <si>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000 1 06 06000 00 0000 110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</si>
  <si>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</si>
  <si>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</si>
  <si>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</si>
  <si>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</si>
  <si>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</si>
  <si>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осуществление первичного воинского учета на территориях, где отсутствуют военные комиссариаты</t>
  </si>
  <si>
    <t>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</si>
  <si>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рублей</t>
  </si>
  <si>
    <t>ДОХОДЫ ОТ ОКАЗАНИЯ ПЛАТНЫХ УСЛУГ (РАБОТ) И КОМПЕНСАЦИИ ЗАТРАТ ГОСУДАРСТВА</t>
  </si>
  <si>
    <t>000 1 13 00000 00 0000 000</t>
  </si>
  <si>
    <t>000 1 13 02994 04 0000 130</t>
  </si>
  <si>
    <t>Прочие доходы от компенсации затрат бюджетов городских округов</t>
  </si>
  <si>
    <t>Прочие доходы от компенсации затрат государства</t>
  </si>
  <si>
    <t>000 1 13 02990 00 0000 130</t>
  </si>
  <si>
    <t>Доходы от компенсации затрат государства</t>
  </si>
  <si>
    <t>000 1 13 02000 00 0000 130</t>
  </si>
  <si>
    <t>Субсидия муниципальным районам (городским округам) на приобретение и установку спортивных площадок</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</si>
  <si>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</si>
  <si>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</si>
  <si>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</si>
  <si>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</si>
  <si>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</si>
  <si>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</si>
  <si>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</si>
  <si>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</si>
  <si>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правонарушения в области дорожного движения</t>
  </si>
  <si>
    <t>000 1 16 30000 01 0000 140</t>
  </si>
  <si>
    <t>Прочие денежные взыскания (штрафы) за правонарушения в области дорожного движения</t>
  </si>
  <si>
    <t>000 1 16 30030 01 0000 140</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</si>
  <si>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</si>
  <si>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Межбюджетные трансферты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</si>
  <si>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</si>
  <si>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</si>
  <si>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</si>
  <si>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</si>
  <si>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000 1 06 06032 04 0000 110</t>
  </si>
  <si>
    <t>Земельный налог с организаций</t>
  </si>
  <si>
    <t>Земельный налог с организаций, обладающих земельным участком, расположенным в границах городских округов</t>
  </si>
  <si>
    <t>000 1 05 02020 02 0000 110</t>
  </si>
  <si>
    <t>Единый налог на вмененный доход для отдельных видов деятельности (за налоговые периоды, истекшие до 1 января 2011 года)</t>
  </si>
  <si>
    <t xml:space="preserve"> 000 1 06 06042 04 0000 110</t>
  </si>
  <si>
    <t>000 1 06 06040 00 0000 110</t>
  </si>
  <si>
    <t>Земельный налог с физических лиц, обладающих земельным участком, расположенным в границах городских округов</t>
  </si>
  <si>
    <t>Земельный налог с физических лиц</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</si>
  <si>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</si>
  <si>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000 1 16 33040 04 0000 140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</si>
  <si>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</si>
  <si>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</si>
  <si>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</si>
  <si>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миграционного законодательства Российской Федерации</t>
  </si>
  <si>
    <t>000 2 02 03027 00 0000 151</t>
  </si>
  <si>
    <t>000 2 02 03027 04 0000 151</t>
  </si>
  <si>
    <t>000 2 02 03029 04 0000 151</t>
  </si>
  <si>
    <t>000 2 02 03029 00 0000 151</t>
  </si>
  <si>
    <t>000 2 02 02000 00 0000 151</t>
  </si>
  <si>
    <t>Субсидии бюджетам бюджетной системы Российской Федерации (межбюджетные субсидии)</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</si>
  <si>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</si>
  <si>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</si>
  <si>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</si>
  <si>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</si>
  <si>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</si>
  <si>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</si>
  <si>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</si>
  <si>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</si>
  <si>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</si>
  <si>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</si>
  <si>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</si>
  <si>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</si>
  <si>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</si>
  <si>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</si>
  <si>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</si>
  <si>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</si>
  <si>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</si>
  <si>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</si>
  <si>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</si>
  <si>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</si>
  <si>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</si>
  <si>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</si>
  <si>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</si>
  <si>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</si>
  <si>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</si>
  <si>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</si>
  <si>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на содержание ребенка в семье опекуна и приемной семье, а также вознаграждение, причитающееся приемному родителю</t>
  </si>
  <si>
    <t xml:space="preserve"> Субвенции бюджетам городских округов на государственную регистрацию актов гражданского состояния</t>
  </si>
  <si>
    <t>Субвенции бюджетам субъектов Российской Федерации и муниципальных образований</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</si>
  <si>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</si>
  <si>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</si>
  <si>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</si>
  <si>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</si>
  <si>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</si>
  <si>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</si>
  <si>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</si>
  <si>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000 1 16 40000 01 0000 140</t>
  </si>
  <si>
    <t>000 1 16 43000 01 0000 140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</si>
  <si>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</si>
  <si>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</si>
  <si>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</si>
  <si>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</si>
  <si>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000 1 06 06030 00 0000 110</t>
  </si>
  <si>
    <t xml:space="preserve">Земельный налог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</si>
  <si>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</si>
  <si>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</si>
  <si>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</si>
  <si>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</si>
  <si>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</si>
  <si>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</si>
  <si>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</si>
  <si>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</si>
  <si>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</si>
  <si>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</si>
  <si>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</si>
  <si>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</si>
  <si>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</si>
  <si>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</si>
  <si>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</si>
  <si>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</si>
  <si>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</si>
  <si>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Отклонение прогноза на 2016 год от оценки исполнения 2015 года</t>
  </si>
  <si>
    <t>% отклонения прогноза на 2016 год от оценки исполнения 2015 года</t>
  </si>
  <si>
    <t xml:space="preserve">Акцизы по подакцизным товарам (продукции), производимым на территории Российской Федерации </t>
  </si>
  <si>
    <t xml:space="preserve">000 1 01 02040 01 0000 110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</si>
  <si>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</si>
  <si>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000 1 06 06020 00 0000 110</t>
  </si>
  <si>
    <t>000 1 06 06022 00 0000 110</t>
  </si>
  <si>
    <t>000 1 06 06010 04 0000 110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</si>
  <si>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</si>
  <si>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</si>
  <si>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</si>
  <si>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</si>
  <si>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</si>
  <si>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000 1 12 01020 01 0000 120</t>
  </si>
  <si>
    <t>Плата за выбросы загрязняющих веществ в атмосферный воздух передвижными объектами</t>
  </si>
  <si>
    <t>000  2 02 01003 04 0000 151</t>
  </si>
  <si>
    <t>000  2 02 01003 00 0000 151</t>
  </si>
  <si>
    <t>Дотации бюджетам городских округов на  поддержку мер по обеспечению сбалансированности бюджетов</t>
  </si>
  <si>
    <t>Прочие субвенции бюджетам городских округов на реализацию ЗМО "О физической культуре и спорте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</si>
  <si>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Прочие субвенции бюджетам городских округов (на реализацию ЗМО "О мерах социальной поддержки инвалидов" в части финансирования расходов по обеспечению воспитания и обучения детей инвалидов на дому и в дошкольных учреждениях</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</si>
  <si>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</si>
  <si>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 xml:space="preserve">
000 2 02 04059 04 0000 151</t>
  </si>
  <si>
    <t>% отклонения прогноза на 2016 год от оценки исполнения 2014 года</t>
  </si>
  <si>
    <t>% отклонения прогноза на 2015 год от оценки исполнения 2014 года</t>
  </si>
  <si>
    <t xml:space="preserve">
000 2 18  04000 04 0000 180</t>
  </si>
  <si>
    <t xml:space="preserve">
000 2 19  00000 00 0000 000</t>
  </si>
  <si>
    <t>Доходы бюджетов бюджетной системы РФ от возврата бюджетами бюджетной системы РФ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</si>
  <si>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</si>
  <si>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Объем поступлений доходов в бюджет ЗАТО Видяево 2014-2016 г.</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</si>
</sst>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
    <numFmt numFmtId="167" formatCode="0.0000000000"/>
    <numFmt numFmtId="168" formatCode="0.0%"/>
  </numFmts>
  <fonts count="56">
    <font>
      <sz val="10"/>
      <name val="Arial Cyr"/>
      <family val="0"/>
    </font>
    <font>
      <sz val="11"/>
      <color indexed="8"/>
      <name val="Calibri"/>
      <family val="2"/>
    </font>
    <font>
      <b/>
      <sz val="11"/>
      <name val="Times New Roman"/>
      <family val="1"/>
    </font>
    <font>
      <sz val="10"/>
      <name val="Times New Roman"/>
      <family val="1"/>
    </font>
    <font>
      <i/>
      <sz val="12"/>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u val="single"/>
      <sz val="8"/>
      <name val="Times New Roman"/>
      <family val="1"/>
    </font>
    <font>
      <b/>
      <sz val="10"/>
      <name val="Times New Roman"/>
      <family val="1"/>
    </font>
    <font>
      <u val="single"/>
      <sz val="5"/>
      <color indexed="12"/>
      <name val="Arial Cyr"/>
      <family val="0"/>
    </font>
    <font>
      <u val="single"/>
      <sz val="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color indexed="63"/>
      </right>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medium"/>
      <bottom>
        <color indexed="63"/>
      </bottom>
    </border>
    <border>
      <left style="thin"/>
      <right>
        <color indexed="63"/>
      </right>
      <top style="medium"/>
      <bottom style="mediu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21"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129">
    <xf numFmtId="0" fontId="0" fillId="0" borderId="0" xfId="0" applyAlignment="1">
      <alignment/>
    </xf>
    <xf numFmtId="0" fontId="8" fillId="0" borderId="0" xfId="0" applyFont="1" applyAlignment="1">
      <alignment/>
    </xf>
    <xf numFmtId="0" fontId="0" fillId="0" borderId="0" xfId="0" applyFill="1" applyAlignment="1">
      <alignment/>
    </xf>
    <xf numFmtId="0" fontId="8"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11" fillId="0" borderId="0" xfId="0" applyFont="1" applyFill="1" applyAlignment="1">
      <alignment wrapText="1"/>
    </xf>
    <xf numFmtId="0" fontId="12" fillId="0" borderId="0" xfId="0" applyFont="1" applyFill="1" applyAlignment="1">
      <alignment wrapText="1"/>
    </xf>
    <xf numFmtId="0" fontId="12" fillId="0" borderId="0" xfId="0" applyFont="1" applyFill="1" applyBorder="1" applyAlignment="1">
      <alignment wrapText="1"/>
    </xf>
    <xf numFmtId="0" fontId="11" fillId="0" borderId="0" xfId="0" applyFont="1" applyFill="1" applyBorder="1" applyAlignment="1">
      <alignment wrapText="1"/>
    </xf>
    <xf numFmtId="0" fontId="13" fillId="0" borderId="0" xfId="0" applyFont="1" applyFill="1" applyAlignment="1">
      <alignment/>
    </xf>
    <xf numFmtId="3" fontId="14" fillId="32" borderId="0" xfId="0" applyNumberFormat="1" applyFont="1" applyFill="1" applyBorder="1" applyAlignment="1">
      <alignment horizontal="right" wrapText="1"/>
    </xf>
    <xf numFmtId="0" fontId="15" fillId="0" borderId="0" xfId="0" applyFont="1" applyFill="1" applyAlignment="1">
      <alignment/>
    </xf>
    <xf numFmtId="0" fontId="16" fillId="0" borderId="0" xfId="0" applyFont="1" applyFill="1" applyAlignment="1">
      <alignment/>
    </xf>
    <xf numFmtId="0" fontId="16" fillId="0" borderId="0" xfId="0" applyFont="1" applyAlignment="1">
      <alignment/>
    </xf>
    <xf numFmtId="0" fontId="0" fillId="0" borderId="0" xfId="0" applyFont="1" applyAlignment="1">
      <alignment/>
    </xf>
    <xf numFmtId="4" fontId="0" fillId="0" borderId="0" xfId="0" applyNumberFormat="1" applyFill="1" applyAlignment="1">
      <alignment/>
    </xf>
    <xf numFmtId="4" fontId="8" fillId="0" borderId="0" xfId="0" applyNumberFormat="1" applyFont="1" applyFill="1" applyAlignment="1">
      <alignment/>
    </xf>
    <xf numFmtId="4" fontId="0" fillId="0" borderId="0" xfId="0" applyNumberFormat="1" applyFont="1" applyFill="1" applyAlignment="1">
      <alignment/>
    </xf>
    <xf numFmtId="4" fontId="9" fillId="0" borderId="0" xfId="0" applyNumberFormat="1" applyFont="1" applyFill="1" applyAlignment="1">
      <alignment/>
    </xf>
    <xf numFmtId="0" fontId="14" fillId="0" borderId="0" xfId="0" applyFont="1" applyAlignment="1">
      <alignment horizontal="right"/>
    </xf>
    <xf numFmtId="0" fontId="10" fillId="0" borderId="0" xfId="0" applyFont="1" applyFill="1" applyBorder="1" applyAlignment="1">
      <alignment/>
    </xf>
    <xf numFmtId="0" fontId="14" fillId="0" borderId="0" xfId="0" applyFont="1" applyFill="1" applyAlignment="1">
      <alignment/>
    </xf>
    <xf numFmtId="0" fontId="3" fillId="0" borderId="0" xfId="0" applyFont="1" applyFill="1" applyBorder="1" applyAlignment="1">
      <alignment/>
    </xf>
    <xf numFmtId="0" fontId="0" fillId="0" borderId="0" xfId="0" applyFont="1" applyFill="1" applyAlignment="1">
      <alignment/>
    </xf>
    <xf numFmtId="0" fontId="17" fillId="0" borderId="0" xfId="0" applyFont="1" applyFill="1" applyAlignment="1">
      <alignment/>
    </xf>
    <xf numFmtId="0" fontId="17" fillId="0" borderId="0" xfId="0" applyFont="1" applyAlignment="1">
      <alignment/>
    </xf>
    <xf numFmtId="0" fontId="6" fillId="32" borderId="10" xfId="0" applyFont="1" applyFill="1" applyBorder="1" applyAlignment="1">
      <alignment horizontal="center" vertical="center" wrapText="1"/>
    </xf>
    <xf numFmtId="0" fontId="6" fillId="32" borderId="11" xfId="0" applyFont="1" applyFill="1" applyBorder="1" applyAlignment="1">
      <alignment wrapText="1"/>
    </xf>
    <xf numFmtId="4" fontId="7" fillId="32" borderId="11" xfId="0" applyNumberFormat="1" applyFont="1" applyFill="1" applyBorder="1" applyAlignment="1">
      <alignment horizontal="center"/>
    </xf>
    <xf numFmtId="4" fontId="6" fillId="32" borderId="11" xfId="0" applyNumberFormat="1" applyFont="1" applyFill="1" applyBorder="1" applyAlignment="1">
      <alignment horizontal="center"/>
    </xf>
    <xf numFmtId="0" fontId="7" fillId="32" borderId="11" xfId="0" applyFont="1" applyFill="1" applyBorder="1" applyAlignment="1">
      <alignment wrapText="1"/>
    </xf>
    <xf numFmtId="4" fontId="7" fillId="32" borderId="11" xfId="0" applyNumberFormat="1" applyFont="1" applyFill="1" applyBorder="1" applyAlignment="1">
      <alignment horizontal="center" wrapText="1"/>
    </xf>
    <xf numFmtId="0" fontId="7" fillId="32" borderId="11" xfId="0" applyFont="1" applyFill="1" applyBorder="1" applyAlignment="1">
      <alignment/>
    </xf>
    <xf numFmtId="0" fontId="6" fillId="32" borderId="11" xfId="0" applyFont="1" applyFill="1" applyBorder="1" applyAlignment="1">
      <alignment vertical="top" wrapText="1"/>
    </xf>
    <xf numFmtId="0" fontId="7" fillId="32" borderId="11" xfId="0" applyFont="1" applyFill="1" applyBorder="1" applyAlignment="1">
      <alignment vertical="center" wrapText="1"/>
    </xf>
    <xf numFmtId="0" fontId="7" fillId="32" borderId="11" xfId="0" applyFont="1" applyFill="1" applyBorder="1" applyAlignment="1">
      <alignment vertical="top" wrapText="1"/>
    </xf>
    <xf numFmtId="0" fontId="6" fillId="32" borderId="11" xfId="0" applyFont="1" applyFill="1" applyBorder="1" applyAlignment="1">
      <alignment horizontal="left" vertical="center" wrapText="1"/>
    </xf>
    <xf numFmtId="0" fontId="6" fillId="32" borderId="11" xfId="0" applyNumberFormat="1" applyFont="1" applyFill="1" applyBorder="1" applyAlignment="1">
      <alignment horizontal="left" vertical="center" wrapText="1"/>
    </xf>
    <xf numFmtId="4" fontId="6" fillId="32" borderId="11" xfId="0" applyNumberFormat="1" applyFont="1" applyFill="1" applyBorder="1" applyAlignment="1">
      <alignment horizontal="left" vertical="center" wrapText="1"/>
    </xf>
    <xf numFmtId="0" fontId="7" fillId="32" borderId="11" xfId="0" applyFont="1" applyFill="1" applyBorder="1" applyAlignment="1">
      <alignment horizontal="left" vertical="center" wrapText="1"/>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0" xfId="0" applyFont="1" applyFill="1" applyBorder="1" applyAlignment="1">
      <alignment/>
    </xf>
    <xf numFmtId="0" fontId="7" fillId="32" borderId="11" xfId="0" applyFont="1" applyFill="1" applyBorder="1" applyAlignment="1">
      <alignment horizontal="center" wrapText="1"/>
    </xf>
    <xf numFmtId="0" fontId="6" fillId="32" borderId="11" xfId="0" applyFont="1" applyFill="1" applyBorder="1" applyAlignment="1">
      <alignment horizontal="center" wrapText="1"/>
    </xf>
    <xf numFmtId="0" fontId="7" fillId="32" borderId="11" xfId="0" applyFont="1" applyFill="1" applyBorder="1" applyAlignment="1">
      <alignment horizontal="center"/>
    </xf>
    <xf numFmtId="0" fontId="6" fillId="32" borderId="11" xfId="0" applyFont="1" applyFill="1" applyBorder="1" applyAlignment="1">
      <alignment horizontal="center"/>
    </xf>
    <xf numFmtId="0" fontId="0" fillId="32" borderId="0" xfId="0" applyFont="1" applyFill="1" applyAlignment="1">
      <alignment/>
    </xf>
    <xf numFmtId="0" fontId="0" fillId="32" borderId="0" xfId="0" applyFont="1" applyFill="1" applyAlignment="1">
      <alignment/>
    </xf>
    <xf numFmtId="4" fontId="0" fillId="32" borderId="0" xfId="0" applyNumberFormat="1" applyFont="1" applyFill="1" applyAlignment="1">
      <alignment/>
    </xf>
    <xf numFmtId="0" fontId="6" fillId="32" borderId="11" xfId="0" applyFont="1" applyFill="1" applyBorder="1" applyAlignment="1">
      <alignment horizontal="left" vertical="top" wrapText="1"/>
    </xf>
    <xf numFmtId="49" fontId="6" fillId="32" borderId="11" xfId="0" applyNumberFormat="1" applyFont="1" applyFill="1" applyBorder="1" applyAlignment="1">
      <alignment wrapText="1"/>
    </xf>
    <xf numFmtId="0" fontId="7" fillId="32" borderId="11" xfId="0" applyFont="1" applyFill="1" applyBorder="1" applyAlignment="1">
      <alignment/>
    </xf>
    <xf numFmtId="0" fontId="6" fillId="0" borderId="11" xfId="0" applyFont="1" applyFill="1" applyBorder="1" applyAlignment="1">
      <alignment horizontal="left" wrapText="1"/>
    </xf>
    <xf numFmtId="0" fontId="15" fillId="0" borderId="0" xfId="0" applyFont="1" applyAlignment="1">
      <alignment/>
    </xf>
    <xf numFmtId="4" fontId="0" fillId="33" borderId="0" xfId="0" applyNumberFormat="1" applyFill="1" applyAlignment="1">
      <alignment/>
    </xf>
    <xf numFmtId="4" fontId="8" fillId="33" borderId="0" xfId="0" applyNumberFormat="1" applyFont="1" applyFill="1" applyAlignment="1">
      <alignment/>
    </xf>
    <xf numFmtId="4" fontId="0" fillId="33" borderId="0" xfId="0" applyNumberFormat="1" applyFont="1" applyFill="1" applyAlignment="1">
      <alignment/>
    </xf>
    <xf numFmtId="4" fontId="9" fillId="33" borderId="0" xfId="0" applyNumberFormat="1" applyFont="1" applyFill="1" applyAlignment="1">
      <alignment/>
    </xf>
    <xf numFmtId="2" fontId="7" fillId="32" borderId="11" xfId="0" applyNumberFormat="1" applyFont="1" applyFill="1" applyBorder="1" applyAlignment="1">
      <alignment horizontal="left" vertical="center" wrapText="1"/>
    </xf>
    <xf numFmtId="4" fontId="0" fillId="32" borderId="0" xfId="0" applyNumberFormat="1" applyFill="1" applyAlignment="1">
      <alignment/>
    </xf>
    <xf numFmtId="4" fontId="7" fillId="32" borderId="12" xfId="0" applyNumberFormat="1" applyFont="1" applyFill="1" applyBorder="1" applyAlignment="1">
      <alignment horizontal="center" wrapText="1"/>
    </xf>
    <xf numFmtId="4" fontId="7" fillId="32" borderId="12" xfId="0" applyNumberFormat="1" applyFont="1" applyFill="1" applyBorder="1" applyAlignment="1">
      <alignment horizontal="center"/>
    </xf>
    <xf numFmtId="4" fontId="6" fillId="32" borderId="12" xfId="0" applyNumberFormat="1" applyFont="1" applyFill="1" applyBorder="1" applyAlignment="1">
      <alignment horizontal="center"/>
    </xf>
    <xf numFmtId="4" fontId="6" fillId="33" borderId="12" xfId="0" applyNumberFormat="1" applyFont="1" applyFill="1" applyBorder="1" applyAlignment="1">
      <alignment horizontal="center"/>
    </xf>
    <xf numFmtId="0" fontId="3" fillId="0" borderId="0" xfId="0" applyFont="1" applyFill="1" applyAlignment="1">
      <alignment horizontal="center" wrapText="1"/>
    </xf>
    <xf numFmtId="0" fontId="19" fillId="0" borderId="0" xfId="0" applyFont="1" applyFill="1" applyAlignment="1">
      <alignment horizontal="center" wrapText="1"/>
    </xf>
    <xf numFmtId="0" fontId="7" fillId="0" borderId="0" xfId="0" applyFont="1" applyFill="1" applyAlignment="1">
      <alignment horizontal="center" wrapText="1"/>
    </xf>
    <xf numFmtId="0" fontId="3" fillId="32" borderId="13"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32" borderId="15" xfId="0" applyFont="1" applyFill="1" applyBorder="1" applyAlignment="1">
      <alignment wrapText="1"/>
    </xf>
    <xf numFmtId="164" fontId="7" fillId="32" borderId="15" xfId="0" applyNumberFormat="1" applyFont="1" applyFill="1" applyBorder="1" applyAlignment="1">
      <alignment wrapText="1"/>
    </xf>
    <xf numFmtId="0" fontId="15" fillId="34" borderId="0" xfId="0" applyFont="1" applyFill="1" applyAlignment="1">
      <alignment/>
    </xf>
    <xf numFmtId="4" fontId="7" fillId="0" borderId="12"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32" borderId="11" xfId="0" applyNumberFormat="1" applyFont="1" applyFill="1" applyBorder="1" applyAlignment="1">
      <alignment horizontal="center" wrapText="1"/>
    </xf>
    <xf numFmtId="0" fontId="6" fillId="32" borderId="11" xfId="0" applyFont="1" applyFill="1" applyBorder="1" applyAlignment="1">
      <alignment vertical="center" wrapText="1"/>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4" fontId="3" fillId="32" borderId="0" xfId="0" applyNumberFormat="1" applyFont="1" applyFill="1" applyBorder="1" applyAlignment="1">
      <alignment horizontal="right"/>
    </xf>
    <xf numFmtId="4" fontId="2" fillId="32" borderId="0" xfId="0" applyNumberFormat="1" applyFont="1" applyFill="1" applyBorder="1" applyAlignment="1">
      <alignment/>
    </xf>
    <xf numFmtId="4" fontId="3" fillId="32" borderId="0" xfId="0" applyNumberFormat="1" applyFont="1" applyFill="1" applyBorder="1" applyAlignment="1">
      <alignment/>
    </xf>
    <xf numFmtId="4" fontId="0" fillId="32" borderId="0" xfId="0" applyNumberFormat="1" applyFont="1" applyFill="1" applyAlignment="1">
      <alignment/>
    </xf>
    <xf numFmtId="4" fontId="6" fillId="35" borderId="11" xfId="0" applyNumberFormat="1" applyFont="1" applyFill="1" applyBorder="1" applyAlignment="1">
      <alignment horizontal="center"/>
    </xf>
    <xf numFmtId="0" fontId="6" fillId="32" borderId="13"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10" xfId="0" applyFont="1" applyFill="1" applyBorder="1" applyAlignment="1">
      <alignment horizontal="center"/>
    </xf>
    <xf numFmtId="0" fontId="8" fillId="0" borderId="14" xfId="0" applyFont="1" applyFill="1" applyBorder="1" applyAlignment="1">
      <alignment horizontal="center"/>
    </xf>
    <xf numFmtId="0" fontId="19" fillId="0" borderId="13"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9" fillId="32" borderId="13" xfId="0" applyFont="1" applyFill="1" applyBorder="1" applyAlignment="1">
      <alignment horizontal="center" vertical="center" wrapText="1"/>
    </xf>
    <xf numFmtId="4" fontId="19" fillId="32" borderId="13" xfId="0" applyNumberFormat="1" applyFont="1" applyFill="1" applyBorder="1" applyAlignment="1">
      <alignment horizontal="center" vertical="center" wrapText="1"/>
    </xf>
    <xf numFmtId="0" fontId="7" fillId="32" borderId="13" xfId="0" applyFont="1" applyFill="1" applyBorder="1" applyAlignment="1">
      <alignment horizontal="center" vertical="center" wrapText="1"/>
    </xf>
    <xf numFmtId="4" fontId="6" fillId="35" borderId="12" xfId="0" applyNumberFormat="1" applyFont="1" applyFill="1" applyBorder="1" applyAlignment="1">
      <alignment horizontal="center"/>
    </xf>
    <xf numFmtId="4" fontId="6" fillId="0" borderId="11" xfId="0" applyNumberFormat="1" applyFont="1" applyFill="1" applyBorder="1" applyAlignment="1">
      <alignment horizontal="center" wrapText="1"/>
    </xf>
    <xf numFmtId="168" fontId="6" fillId="0" borderId="12" xfId="57" applyNumberFormat="1" applyFont="1" applyFill="1" applyBorder="1" applyAlignment="1">
      <alignment horizontal="center" wrapText="1"/>
    </xf>
    <xf numFmtId="4" fontId="7" fillId="0" borderId="11" xfId="0" applyNumberFormat="1" applyFont="1" applyFill="1" applyBorder="1" applyAlignment="1">
      <alignment horizontal="center" wrapText="1"/>
    </xf>
    <xf numFmtId="168" fontId="7" fillId="0" borderId="12" xfId="57" applyNumberFormat="1" applyFont="1" applyFill="1" applyBorder="1" applyAlignment="1">
      <alignment horizontal="center" wrapText="1"/>
    </xf>
    <xf numFmtId="0" fontId="10" fillId="32" borderId="0" xfId="0" applyFont="1" applyFill="1" applyBorder="1" applyAlignment="1">
      <alignment horizontal="right"/>
    </xf>
    <xf numFmtId="0" fontId="18" fillId="32" borderId="0" xfId="0" applyFont="1" applyFill="1" applyAlignment="1">
      <alignment horizontal="right"/>
    </xf>
    <xf numFmtId="0" fontId="14" fillId="32" borderId="0" xfId="0" applyFont="1" applyFill="1" applyAlignment="1">
      <alignment horizontal="right"/>
    </xf>
    <xf numFmtId="3" fontId="14" fillId="32" borderId="0" xfId="0" applyNumberFormat="1" applyFont="1" applyFill="1" applyBorder="1" applyAlignment="1">
      <alignment horizontal="right" wrapText="1"/>
    </xf>
    <xf numFmtId="0" fontId="14" fillId="0" borderId="0" xfId="0" applyFont="1" applyFill="1" applyAlignment="1">
      <alignment horizontal="right" wrapText="1"/>
    </xf>
    <xf numFmtId="3" fontId="14" fillId="0" borderId="0" xfId="0" applyNumberFormat="1" applyFont="1" applyFill="1" applyBorder="1" applyAlignment="1">
      <alignment horizontal="right" wrapText="1"/>
    </xf>
    <xf numFmtId="0" fontId="0" fillId="0" borderId="0" xfId="0" applyFill="1" applyAlignment="1">
      <alignment horizontal="center"/>
    </xf>
    <xf numFmtId="0" fontId="4" fillId="32" borderId="0" xfId="0" applyFont="1" applyFill="1" applyBorder="1" applyAlignment="1">
      <alignment horizontal="center"/>
    </xf>
    <xf numFmtId="0" fontId="8" fillId="0" borderId="0" xfId="0" applyFont="1" applyFill="1" applyAlignment="1">
      <alignment horizontal="center"/>
    </xf>
    <xf numFmtId="0" fontId="0" fillId="0" borderId="0" xfId="0" applyFont="1" applyFill="1" applyAlignment="1">
      <alignment horizontal="center"/>
    </xf>
    <xf numFmtId="0" fontId="9" fillId="0" borderId="0" xfId="0" applyFont="1" applyFill="1" applyAlignment="1">
      <alignment horizontal="center"/>
    </xf>
    <xf numFmtId="168" fontId="7" fillId="0" borderId="11" xfId="0" applyNumberFormat="1" applyFont="1" applyFill="1" applyBorder="1" applyAlignment="1">
      <alignment horizontal="center"/>
    </xf>
    <xf numFmtId="168" fontId="6" fillId="0" borderId="11" xfId="0" applyNumberFormat="1" applyFont="1" applyFill="1" applyBorder="1" applyAlignment="1">
      <alignment horizontal="center"/>
    </xf>
    <xf numFmtId="168" fontId="7" fillId="0" borderId="11" xfId="0" applyNumberFormat="1" applyFont="1" applyFill="1" applyBorder="1" applyAlignment="1">
      <alignment horizontal="center" wrapText="1"/>
    </xf>
    <xf numFmtId="168" fontId="6" fillId="32" borderId="11" xfId="0" applyNumberFormat="1" applyFont="1" applyFill="1" applyBorder="1" applyAlignment="1">
      <alignment horizontal="center"/>
    </xf>
    <xf numFmtId="0" fontId="7" fillId="32" borderId="11" xfId="0" applyFont="1" applyFill="1" applyBorder="1" applyAlignment="1">
      <alignment horizontal="left" vertical="top" wrapText="1"/>
    </xf>
    <xf numFmtId="168" fontId="7" fillId="32" borderId="11" xfId="0" applyNumberFormat="1" applyFont="1" applyFill="1" applyBorder="1" applyAlignment="1">
      <alignment horizontal="center"/>
    </xf>
    <xf numFmtId="4" fontId="7" fillId="32" borderId="15" xfId="0" applyNumberFormat="1" applyFont="1" applyFill="1" applyBorder="1" applyAlignment="1">
      <alignment wrapText="1"/>
    </xf>
    <xf numFmtId="4" fontId="8" fillId="0" borderId="15" xfId="0" applyNumberFormat="1" applyFont="1" applyFill="1" applyBorder="1" applyAlignment="1">
      <alignment/>
    </xf>
    <xf numFmtId="0" fontId="8" fillId="32" borderId="18" xfId="0" applyFont="1" applyFill="1" applyBorder="1" applyAlignment="1">
      <alignment/>
    </xf>
    <xf numFmtId="0" fontId="19" fillId="0" borderId="15" xfId="0" applyFont="1" applyFill="1" applyBorder="1" applyAlignment="1">
      <alignment horizontal="center" wrapText="1"/>
    </xf>
    <xf numFmtId="0" fontId="19" fillId="0" borderId="18" xfId="0" applyFont="1" applyFill="1" applyBorder="1" applyAlignment="1">
      <alignment horizontal="center" wrapText="1"/>
    </xf>
    <xf numFmtId="0" fontId="8" fillId="0" borderId="15" xfId="0" applyFont="1" applyFill="1" applyBorder="1" applyAlignment="1">
      <alignment/>
    </xf>
    <xf numFmtId="0" fontId="8" fillId="0" borderId="15" xfId="0" applyFont="1" applyFill="1" applyBorder="1" applyAlignment="1">
      <alignment horizontal="center"/>
    </xf>
    <xf numFmtId="0" fontId="5" fillId="0" borderId="0"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67"/>
  <sheetViews>
    <sheetView tabSelected="1" view="pageBreakPreview" zoomScale="90" zoomScaleSheetLayoutView="90" zoomScalePageLayoutView="0" workbookViewId="0" topLeftCell="A1">
      <selection activeCell="O67" sqref="O67"/>
    </sheetView>
  </sheetViews>
  <sheetFormatPr defaultColWidth="9.00390625" defaultRowHeight="12.75"/>
  <cols>
    <col min="1" max="1" width="66.00390625" style="24" customWidth="1"/>
    <col min="2" max="2" width="28.125" style="49" customWidth="1"/>
    <col min="3" max="3" width="19.25390625" style="87" customWidth="1"/>
    <col min="4" max="4" width="18.50390625" style="50" customWidth="1"/>
    <col min="5" max="5" width="7.375" style="6" hidden="1" customWidth="1"/>
    <col min="6" max="6" width="17.875" style="16" hidden="1" customWidth="1"/>
    <col min="7" max="7" width="15.125" style="2" hidden="1" customWidth="1"/>
    <col min="8" max="9" width="9.125" style="2" hidden="1" customWidth="1"/>
    <col min="10" max="10" width="14.50390625" style="16" hidden="1" customWidth="1"/>
    <col min="11" max="11" width="17.125" style="57" customWidth="1"/>
    <col min="12" max="12" width="15.125" style="67" customWidth="1"/>
    <col min="13" max="13" width="14.50390625" style="67" customWidth="1"/>
    <col min="14" max="14" width="15.125" style="2" customWidth="1"/>
    <col min="15" max="15" width="13.50390625" style="110" customWidth="1"/>
    <col min="16" max="30" width="9.125" style="2" customWidth="1"/>
  </cols>
  <sheetData>
    <row r="1" spans="1:11" ht="12.75">
      <c r="A1" s="21"/>
      <c r="B1" s="104"/>
      <c r="C1" s="104"/>
      <c r="D1" s="104"/>
      <c r="K1" s="62"/>
    </row>
    <row r="2" spans="1:11" ht="12.75" customHeight="1">
      <c r="A2" s="108"/>
      <c r="B2" s="108"/>
      <c r="C2" s="108"/>
      <c r="D2" s="108"/>
      <c r="E2" s="108"/>
      <c r="F2" s="108"/>
      <c r="G2" s="108"/>
      <c r="K2" s="62"/>
    </row>
    <row r="3" spans="1:11" ht="36.75" customHeight="1">
      <c r="A3" s="109"/>
      <c r="B3" s="109"/>
      <c r="C3" s="109"/>
      <c r="D3" s="109"/>
      <c r="E3" s="109"/>
      <c r="F3" s="109"/>
      <c r="G3" s="109"/>
      <c r="K3" s="62"/>
    </row>
    <row r="4" spans="2:11" ht="12.75">
      <c r="B4" s="105"/>
      <c r="C4" s="105"/>
      <c r="D4" s="106"/>
      <c r="E4" s="20"/>
      <c r="F4" s="20"/>
      <c r="K4" s="62"/>
    </row>
    <row r="5" spans="1:11" ht="12.75">
      <c r="A5" s="22"/>
      <c r="B5" s="107"/>
      <c r="C5" s="107"/>
      <c r="D5" s="107"/>
      <c r="E5" s="11"/>
      <c r="F5" s="11"/>
      <c r="K5" s="62"/>
    </row>
    <row r="6" spans="1:11" ht="12.75">
      <c r="A6" s="23"/>
      <c r="B6" s="41"/>
      <c r="C6" s="84"/>
      <c r="D6" s="41"/>
      <c r="K6" s="62"/>
    </row>
    <row r="7" spans="1:11" ht="17.25">
      <c r="A7" s="128" t="s">
        <v>241</v>
      </c>
      <c r="B7" s="128"/>
      <c r="C7" s="128"/>
      <c r="D7" s="128"/>
      <c r="K7" s="62"/>
    </row>
    <row r="8" spans="1:11" ht="13.5">
      <c r="A8" s="23"/>
      <c r="B8" s="42"/>
      <c r="C8" s="85"/>
      <c r="D8" s="43"/>
      <c r="K8" s="62"/>
    </row>
    <row r="9" spans="1:15" ht="15.75" thickBot="1">
      <c r="A9" s="23"/>
      <c r="B9" s="44"/>
      <c r="C9" s="86"/>
      <c r="K9" s="62"/>
      <c r="O9" s="111" t="s">
        <v>103</v>
      </c>
    </row>
    <row r="10" spans="1:15" ht="88.5" customHeight="1" thickBot="1">
      <c r="A10" s="27" t="s">
        <v>47</v>
      </c>
      <c r="B10" s="70" t="s">
        <v>46</v>
      </c>
      <c r="C10" s="89">
        <v>2014</v>
      </c>
      <c r="D10" s="71">
        <v>2015</v>
      </c>
      <c r="E10" s="71">
        <v>2015</v>
      </c>
      <c r="F10" s="71">
        <v>2015</v>
      </c>
      <c r="G10" s="71">
        <v>2015</v>
      </c>
      <c r="H10" s="71">
        <v>2015</v>
      </c>
      <c r="I10" s="71">
        <v>2015</v>
      </c>
      <c r="J10" s="71">
        <v>2015</v>
      </c>
      <c r="K10" s="71">
        <v>2016</v>
      </c>
      <c r="L10" s="72" t="s">
        <v>213</v>
      </c>
      <c r="M10" s="73" t="s">
        <v>214</v>
      </c>
      <c r="N10" s="90" t="s">
        <v>235</v>
      </c>
      <c r="O10" s="90" t="s">
        <v>236</v>
      </c>
    </row>
    <row r="11" spans="1:30" s="1" customFormat="1" ht="18" customHeight="1" thickBot="1">
      <c r="A11" s="95">
        <v>1</v>
      </c>
      <c r="B11" s="96">
        <v>2</v>
      </c>
      <c r="C11" s="97"/>
      <c r="D11" s="98">
        <v>3</v>
      </c>
      <c r="E11" s="98"/>
      <c r="F11" s="98"/>
      <c r="G11" s="98"/>
      <c r="H11" s="98"/>
      <c r="I11" s="98"/>
      <c r="J11" s="98"/>
      <c r="K11" s="98">
        <v>4</v>
      </c>
      <c r="L11" s="93">
        <v>5</v>
      </c>
      <c r="M11" s="94">
        <v>6</v>
      </c>
      <c r="N11" s="91">
        <v>7</v>
      </c>
      <c r="O11" s="92">
        <v>8</v>
      </c>
      <c r="P11" s="3"/>
      <c r="Q11" s="3"/>
      <c r="R11" s="3"/>
      <c r="S11" s="3"/>
      <c r="T11" s="3"/>
      <c r="U11" s="3"/>
      <c r="V11" s="3"/>
      <c r="W11" s="3"/>
      <c r="X11" s="3"/>
      <c r="Y11" s="3"/>
      <c r="Z11" s="3"/>
      <c r="AA11" s="3"/>
      <c r="AB11" s="3"/>
      <c r="AC11" s="3"/>
      <c r="AD11" s="3"/>
    </row>
    <row r="12" spans="1:30" s="1" customFormat="1" ht="20.25" customHeight="1">
      <c r="A12" s="74" t="s">
        <v>68</v>
      </c>
      <c r="B12" s="74"/>
      <c r="C12" s="121"/>
      <c r="D12" s="75"/>
      <c r="E12" s="7"/>
      <c r="F12" s="122"/>
      <c r="G12" s="122"/>
      <c r="H12" s="3"/>
      <c r="I12" s="3"/>
      <c r="J12" s="17"/>
      <c r="K12" s="123"/>
      <c r="L12" s="124"/>
      <c r="M12" s="125"/>
      <c r="N12" s="126"/>
      <c r="O12" s="127"/>
      <c r="P12" s="3"/>
      <c r="Q12" s="3"/>
      <c r="R12" s="3"/>
      <c r="S12" s="3"/>
      <c r="T12" s="3"/>
      <c r="U12" s="3"/>
      <c r="V12" s="3"/>
      <c r="W12" s="3"/>
      <c r="X12" s="3"/>
      <c r="Y12" s="3"/>
      <c r="Z12" s="3"/>
      <c r="AA12" s="3"/>
      <c r="AB12" s="3"/>
      <c r="AC12" s="3"/>
      <c r="AD12" s="3"/>
    </row>
    <row r="13" spans="1:15" s="3" customFormat="1" ht="27" customHeight="1">
      <c r="A13" s="31" t="s">
        <v>14</v>
      </c>
      <c r="B13" s="45" t="s">
        <v>41</v>
      </c>
      <c r="C13" s="32">
        <f>C14+C54</f>
        <v>134179948.34</v>
      </c>
      <c r="D13" s="32">
        <f>D14+D54</f>
        <v>132311299</v>
      </c>
      <c r="E13" s="32">
        <f>E14+E54</f>
        <v>132311314</v>
      </c>
      <c r="F13" s="32">
        <f>F14+F54</f>
        <v>132311329</v>
      </c>
      <c r="G13" s="32">
        <f>G14+G54</f>
        <v>132311344</v>
      </c>
      <c r="H13" s="32">
        <f>H14+H54</f>
        <v>132311359</v>
      </c>
      <c r="I13" s="32">
        <f>I14+I54</f>
        <v>132311374</v>
      </c>
      <c r="J13" s="32">
        <f>J14+J54</f>
        <v>132311389</v>
      </c>
      <c r="K13" s="63">
        <f>K14+K54</f>
        <v>132670800</v>
      </c>
      <c r="L13" s="102">
        <f>K13-D13</f>
        <v>359501</v>
      </c>
      <c r="M13" s="103">
        <f>K13/D13</f>
        <v>1.0027170846535185</v>
      </c>
      <c r="N13" s="103">
        <f>K13/C13</f>
        <v>0.9887528027945282</v>
      </c>
      <c r="O13" s="115">
        <f>D13/C13</f>
        <v>0.9860735574643015</v>
      </c>
    </row>
    <row r="14" spans="1:15" s="3" customFormat="1" ht="29.25" customHeight="1">
      <c r="A14" s="31" t="s">
        <v>10</v>
      </c>
      <c r="B14" s="45"/>
      <c r="C14" s="32">
        <f>C15+C27+C51+C21+C39</f>
        <v>129285741.33</v>
      </c>
      <c r="D14" s="32">
        <f>D15+D27+D51+D21+D39</f>
        <v>128778839</v>
      </c>
      <c r="E14" s="32">
        <f>E15+E27+E51+E21+E39</f>
        <v>128778847</v>
      </c>
      <c r="F14" s="32">
        <f>F15+F27+F51+F21+F39</f>
        <v>128778855</v>
      </c>
      <c r="G14" s="32">
        <f>G15+G27+G51+G21+G39</f>
        <v>128778863</v>
      </c>
      <c r="H14" s="32">
        <f>H15+H27+H51+H21+H39</f>
        <v>128778871</v>
      </c>
      <c r="I14" s="32">
        <f>I15+I27+I51+I21+I39</f>
        <v>128778879</v>
      </c>
      <c r="J14" s="32">
        <f>J15+J27+J51+J21+J39</f>
        <v>128778887</v>
      </c>
      <c r="K14" s="63">
        <f>K15+K27+K51+K21+K39</f>
        <v>128880000</v>
      </c>
      <c r="L14" s="102">
        <f aca="true" t="shared" si="0" ref="L14:L83">K14-D14</f>
        <v>101161</v>
      </c>
      <c r="M14" s="103">
        <f aca="true" t="shared" si="1" ref="M14:M83">K14/D14</f>
        <v>1.0007855405498725</v>
      </c>
      <c r="N14" s="103">
        <f>K14/C14</f>
        <v>0.9968616699272014</v>
      </c>
      <c r="O14" s="115">
        <f>D14/C14</f>
        <v>0.9960792093173977</v>
      </c>
    </row>
    <row r="15" spans="1:30" s="1" customFormat="1" ht="15" customHeight="1">
      <c r="A15" s="33" t="s">
        <v>50</v>
      </c>
      <c r="B15" s="45" t="s">
        <v>51</v>
      </c>
      <c r="C15" s="29">
        <f>C16</f>
        <v>124705725.35000001</v>
      </c>
      <c r="D15" s="29">
        <f>D16</f>
        <v>123815839</v>
      </c>
      <c r="E15" s="29">
        <f aca="true" t="shared" si="2" ref="E15:K15">E16</f>
        <v>123815840</v>
      </c>
      <c r="F15" s="29">
        <f t="shared" si="2"/>
        <v>123815841</v>
      </c>
      <c r="G15" s="29">
        <f t="shared" si="2"/>
        <v>123815842</v>
      </c>
      <c r="H15" s="29">
        <f t="shared" si="2"/>
        <v>123815843</v>
      </c>
      <c r="I15" s="29">
        <f t="shared" si="2"/>
        <v>123815844</v>
      </c>
      <c r="J15" s="29">
        <f t="shared" si="2"/>
        <v>123815845</v>
      </c>
      <c r="K15" s="77">
        <f t="shared" si="2"/>
        <v>124302000</v>
      </c>
      <c r="L15" s="102">
        <f t="shared" si="0"/>
        <v>486161</v>
      </c>
      <c r="M15" s="103">
        <f t="shared" si="1"/>
        <v>1.0039264847205858</v>
      </c>
      <c r="N15" s="103">
        <f>K15/C15</f>
        <v>0.9967625756646945</v>
      </c>
      <c r="O15" s="115">
        <f>D15/C15</f>
        <v>0.9928641099075247</v>
      </c>
      <c r="P15" s="3"/>
      <c r="Q15" s="3"/>
      <c r="R15" s="3"/>
      <c r="S15" s="3"/>
      <c r="T15" s="3"/>
      <c r="U15" s="3"/>
      <c r="V15" s="3"/>
      <c r="W15" s="3"/>
      <c r="X15" s="3"/>
      <c r="Y15" s="3"/>
      <c r="Z15" s="3"/>
      <c r="AA15" s="3"/>
      <c r="AB15" s="3"/>
      <c r="AC15" s="3"/>
      <c r="AD15" s="3"/>
    </row>
    <row r="16" spans="1:30" s="1" customFormat="1" ht="32.25" customHeight="1">
      <c r="A16" s="33" t="s">
        <v>48</v>
      </c>
      <c r="B16" s="45" t="s">
        <v>52</v>
      </c>
      <c r="C16" s="29">
        <f>C17+C18+C19+C20</f>
        <v>124705725.35000001</v>
      </c>
      <c r="D16" s="29">
        <f>D17+D18+D19</f>
        <v>123815839</v>
      </c>
      <c r="E16" s="29">
        <f>E17+E18+E19</f>
        <v>123815840</v>
      </c>
      <c r="F16" s="29">
        <f>F17+F18+F19</f>
        <v>123815841</v>
      </c>
      <c r="G16" s="29">
        <f>G17+G18+G19</f>
        <v>123815842</v>
      </c>
      <c r="H16" s="29">
        <f>H17+H18+H19</f>
        <v>123815843</v>
      </c>
      <c r="I16" s="29">
        <f>I17+I18+I19</f>
        <v>123815844</v>
      </c>
      <c r="J16" s="29">
        <f>J17+J18+J19</f>
        <v>123815845</v>
      </c>
      <c r="K16" s="77">
        <f>K17+K18+K19</f>
        <v>124302000</v>
      </c>
      <c r="L16" s="102">
        <f t="shared" si="0"/>
        <v>486161</v>
      </c>
      <c r="M16" s="103">
        <f t="shared" si="1"/>
        <v>1.0039264847205858</v>
      </c>
      <c r="N16" s="103">
        <f>K16/C16</f>
        <v>0.9967625756646945</v>
      </c>
      <c r="O16" s="115">
        <f>D16/C16</f>
        <v>0.9928641099075247</v>
      </c>
      <c r="P16" s="3"/>
      <c r="Q16" s="3"/>
      <c r="R16" s="3"/>
      <c r="S16" s="3"/>
      <c r="T16" s="3"/>
      <c r="U16" s="3"/>
      <c r="V16" s="3"/>
      <c r="W16" s="3"/>
      <c r="X16" s="3"/>
      <c r="Y16" s="3"/>
      <c r="Z16" s="3"/>
      <c r="AA16" s="3"/>
      <c r="AB16" s="3"/>
      <c r="AC16" s="3"/>
      <c r="AD16" s="3"/>
    </row>
    <row r="17" spans="1:15" ht="41.25" customHeight="1">
      <c r="A17" s="28" t="s">
        <v>204</v>
      </c>
      <c r="B17" s="46" t="s">
        <v>73</v>
      </c>
      <c r="C17" s="79">
        <v>124654612.6</v>
      </c>
      <c r="D17" s="30">
        <f>124414068-210161-504000-80000</f>
        <v>123619907</v>
      </c>
      <c r="E17" s="30">
        <f aca="true" t="shared" si="3" ref="E17:J17">124414068-210161-504000-80000</f>
        <v>123619907</v>
      </c>
      <c r="F17" s="30">
        <f t="shared" si="3"/>
        <v>123619907</v>
      </c>
      <c r="G17" s="30">
        <f t="shared" si="3"/>
        <v>123619907</v>
      </c>
      <c r="H17" s="30">
        <f t="shared" si="3"/>
        <v>123619907</v>
      </c>
      <c r="I17" s="30">
        <f t="shared" si="3"/>
        <v>123619907</v>
      </c>
      <c r="J17" s="30">
        <f t="shared" si="3"/>
        <v>123619907</v>
      </c>
      <c r="K17" s="78">
        <f>124302000-45000-155000</f>
        <v>124102000</v>
      </c>
      <c r="L17" s="100">
        <f t="shared" si="0"/>
        <v>482093</v>
      </c>
      <c r="M17" s="101">
        <f t="shared" si="1"/>
        <v>1.003899800701193</v>
      </c>
      <c r="N17" s="101">
        <f>K17/C17</f>
        <v>0.9955668499666895</v>
      </c>
      <c r="O17" s="116">
        <f>D17/C17</f>
        <v>0.9916994198736935</v>
      </c>
    </row>
    <row r="18" spans="1:15" ht="108.75">
      <c r="A18" s="28" t="s">
        <v>205</v>
      </c>
      <c r="B18" s="46" t="s">
        <v>71</v>
      </c>
      <c r="C18" s="79">
        <v>3893.7</v>
      </c>
      <c r="D18" s="30">
        <v>43520</v>
      </c>
      <c r="E18" s="30">
        <v>43521</v>
      </c>
      <c r="F18" s="30">
        <v>43522</v>
      </c>
      <c r="G18" s="30">
        <v>43523</v>
      </c>
      <c r="H18" s="30">
        <v>43524</v>
      </c>
      <c r="I18" s="30">
        <v>43525</v>
      </c>
      <c r="J18" s="30">
        <v>43526</v>
      </c>
      <c r="K18" s="78">
        <v>45000</v>
      </c>
      <c r="L18" s="100">
        <f>K18-D18</f>
        <v>1480</v>
      </c>
      <c r="M18" s="101">
        <f t="shared" si="1"/>
        <v>1.0340073529411764</v>
      </c>
      <c r="N18" s="101">
        <f>K18/C18</f>
        <v>11.557130749672549</v>
      </c>
      <c r="O18" s="116">
        <f>D18/C18</f>
        <v>11.177029560572207</v>
      </c>
    </row>
    <row r="19" spans="1:15" ht="46.5">
      <c r="A19" s="28" t="s">
        <v>206</v>
      </c>
      <c r="B19" s="46" t="s">
        <v>79</v>
      </c>
      <c r="C19" s="79">
        <v>42938.65</v>
      </c>
      <c r="D19" s="30">
        <f>72412+80000</f>
        <v>152412</v>
      </c>
      <c r="E19" s="30">
        <f aca="true" t="shared" si="4" ref="E19:J19">72412+80000</f>
        <v>152412</v>
      </c>
      <c r="F19" s="30">
        <f t="shared" si="4"/>
        <v>152412</v>
      </c>
      <c r="G19" s="30">
        <f t="shared" si="4"/>
        <v>152412</v>
      </c>
      <c r="H19" s="30">
        <f t="shared" si="4"/>
        <v>152412</v>
      </c>
      <c r="I19" s="30">
        <f t="shared" si="4"/>
        <v>152412</v>
      </c>
      <c r="J19" s="30">
        <f t="shared" si="4"/>
        <v>152412</v>
      </c>
      <c r="K19" s="78">
        <v>155000</v>
      </c>
      <c r="L19" s="100">
        <f t="shared" si="0"/>
        <v>2588</v>
      </c>
      <c r="M19" s="101">
        <f t="shared" si="1"/>
        <v>1.0169802902658582</v>
      </c>
      <c r="N19" s="101">
        <f aca="true" t="shared" si="5" ref="N19:N82">K19/C19</f>
        <v>3.6098014259880085</v>
      </c>
      <c r="O19" s="116">
        <f>D19/C19</f>
        <v>3.5495293866947377</v>
      </c>
    </row>
    <row r="20" spans="1:15" ht="218.25">
      <c r="A20" s="28" t="s">
        <v>217</v>
      </c>
      <c r="B20" s="46" t="s">
        <v>216</v>
      </c>
      <c r="C20" s="79">
        <v>4280.4</v>
      </c>
      <c r="D20" s="30">
        <v>0</v>
      </c>
      <c r="E20" s="30"/>
      <c r="F20" s="30"/>
      <c r="G20" s="30"/>
      <c r="H20" s="30"/>
      <c r="I20" s="30"/>
      <c r="J20" s="30"/>
      <c r="K20" s="78">
        <v>0</v>
      </c>
      <c r="L20" s="100">
        <f t="shared" si="0"/>
        <v>0</v>
      </c>
      <c r="M20" s="101">
        <v>0</v>
      </c>
      <c r="N20" s="101">
        <f t="shared" si="5"/>
        <v>0</v>
      </c>
      <c r="O20" s="116">
        <f aca="true" t="shared" si="6" ref="O20:O82">D20/C20</f>
        <v>0</v>
      </c>
    </row>
    <row r="21" spans="1:30" s="1" customFormat="1" ht="46.5">
      <c r="A21" s="31" t="s">
        <v>93</v>
      </c>
      <c r="B21" s="45" t="s">
        <v>94</v>
      </c>
      <c r="C21" s="29">
        <f>C22</f>
        <v>1817254.02</v>
      </c>
      <c r="D21" s="29">
        <f>D22</f>
        <v>1486600</v>
      </c>
      <c r="E21" s="29">
        <f aca="true" t="shared" si="7" ref="E21:K21">E22</f>
        <v>1486602</v>
      </c>
      <c r="F21" s="29">
        <f t="shared" si="7"/>
        <v>1486604</v>
      </c>
      <c r="G21" s="29">
        <f t="shared" si="7"/>
        <v>1486606</v>
      </c>
      <c r="H21" s="29">
        <f t="shared" si="7"/>
        <v>1486608</v>
      </c>
      <c r="I21" s="29">
        <f t="shared" si="7"/>
        <v>1486610</v>
      </c>
      <c r="J21" s="29">
        <f t="shared" si="7"/>
        <v>1486612</v>
      </c>
      <c r="K21" s="77">
        <f t="shared" si="7"/>
        <v>1600000</v>
      </c>
      <c r="L21" s="102">
        <f t="shared" si="0"/>
        <v>113400</v>
      </c>
      <c r="M21" s="103">
        <f t="shared" si="1"/>
        <v>1.076281447598547</v>
      </c>
      <c r="N21" s="101">
        <f t="shared" si="5"/>
        <v>0.880449283584471</v>
      </c>
      <c r="O21" s="116">
        <f t="shared" si="6"/>
        <v>0.8180474406104217</v>
      </c>
      <c r="P21" s="3"/>
      <c r="Q21" s="3"/>
      <c r="R21" s="3"/>
      <c r="S21" s="3"/>
      <c r="T21" s="3"/>
      <c r="U21" s="3"/>
      <c r="V21" s="3"/>
      <c r="W21" s="3"/>
      <c r="X21" s="3"/>
      <c r="Y21" s="3"/>
      <c r="Z21" s="3"/>
      <c r="AA21" s="3"/>
      <c r="AB21" s="3"/>
      <c r="AC21" s="3"/>
      <c r="AD21" s="3"/>
    </row>
    <row r="22" spans="1:15" ht="30.75">
      <c r="A22" s="28" t="s">
        <v>215</v>
      </c>
      <c r="B22" s="46" t="s">
        <v>92</v>
      </c>
      <c r="C22" s="30">
        <f>C23+C24+C25+C26</f>
        <v>1817254.02</v>
      </c>
      <c r="D22" s="30">
        <f>D23+D24+D25+D26</f>
        <v>1486600</v>
      </c>
      <c r="E22" s="30">
        <f aca="true" t="shared" si="8" ref="E22:K22">E23+E24+E25+E26</f>
        <v>1486602</v>
      </c>
      <c r="F22" s="30">
        <f t="shared" si="8"/>
        <v>1486604</v>
      </c>
      <c r="G22" s="30">
        <f t="shared" si="8"/>
        <v>1486606</v>
      </c>
      <c r="H22" s="30">
        <f t="shared" si="8"/>
        <v>1486608</v>
      </c>
      <c r="I22" s="30">
        <f t="shared" si="8"/>
        <v>1486610</v>
      </c>
      <c r="J22" s="30">
        <f t="shared" si="8"/>
        <v>1486612</v>
      </c>
      <c r="K22" s="78">
        <f t="shared" si="8"/>
        <v>1600000</v>
      </c>
      <c r="L22" s="100">
        <f t="shared" si="0"/>
        <v>113400</v>
      </c>
      <c r="M22" s="101">
        <f t="shared" si="1"/>
        <v>1.076281447598547</v>
      </c>
      <c r="N22" s="101">
        <f t="shared" si="5"/>
        <v>0.880449283584471</v>
      </c>
      <c r="O22" s="116">
        <f t="shared" si="6"/>
        <v>0.8180474406104217</v>
      </c>
    </row>
    <row r="23" spans="1:15" ht="81.75" customHeight="1">
      <c r="A23" s="53" t="s">
        <v>127</v>
      </c>
      <c r="B23" s="46" t="s">
        <v>91</v>
      </c>
      <c r="C23" s="79">
        <v>685862.86</v>
      </c>
      <c r="D23" s="30">
        <v>526315</v>
      </c>
      <c r="E23" s="30">
        <v>526316</v>
      </c>
      <c r="F23" s="30">
        <v>526317</v>
      </c>
      <c r="G23" s="30">
        <v>526318</v>
      </c>
      <c r="H23" s="30">
        <v>526319</v>
      </c>
      <c r="I23" s="30">
        <v>526320</v>
      </c>
      <c r="J23" s="30">
        <v>526321</v>
      </c>
      <c r="K23" s="78">
        <v>700000</v>
      </c>
      <c r="L23" s="100">
        <f t="shared" si="0"/>
        <v>173685</v>
      </c>
      <c r="M23" s="101">
        <f t="shared" si="1"/>
        <v>1.3300019950029924</v>
      </c>
      <c r="N23" s="101">
        <f t="shared" si="5"/>
        <v>1.0206121964382209</v>
      </c>
      <c r="O23" s="116">
        <f t="shared" si="6"/>
        <v>0.7673764402405461</v>
      </c>
    </row>
    <row r="24" spans="1:15" ht="93">
      <c r="A24" s="53" t="s">
        <v>128</v>
      </c>
      <c r="B24" s="46" t="s">
        <v>90</v>
      </c>
      <c r="C24" s="79">
        <v>15449.19</v>
      </c>
      <c r="D24" s="30">
        <f>11575+1000</f>
        <v>12575</v>
      </c>
      <c r="E24" s="30">
        <f aca="true" t="shared" si="9" ref="E24:J24">11575+1000</f>
        <v>12575</v>
      </c>
      <c r="F24" s="30">
        <f t="shared" si="9"/>
        <v>12575</v>
      </c>
      <c r="G24" s="30">
        <f t="shared" si="9"/>
        <v>12575</v>
      </c>
      <c r="H24" s="30">
        <f t="shared" si="9"/>
        <v>12575</v>
      </c>
      <c r="I24" s="30">
        <f t="shared" si="9"/>
        <v>12575</v>
      </c>
      <c r="J24" s="30">
        <f t="shared" si="9"/>
        <v>12575</v>
      </c>
      <c r="K24" s="78">
        <v>10000</v>
      </c>
      <c r="L24" s="100">
        <f t="shared" si="0"/>
        <v>-2575</v>
      </c>
      <c r="M24" s="101">
        <f t="shared" si="1"/>
        <v>0.7952286282306164</v>
      </c>
      <c r="N24" s="101">
        <f t="shared" si="5"/>
        <v>0.6472831261703688</v>
      </c>
      <c r="O24" s="116">
        <f t="shared" si="6"/>
        <v>0.8139585311592388</v>
      </c>
    </row>
    <row r="25" spans="1:15" ht="78">
      <c r="A25" s="53" t="s">
        <v>129</v>
      </c>
      <c r="B25" s="46" t="s">
        <v>89</v>
      </c>
      <c r="C25" s="79">
        <v>1174961.95</v>
      </c>
      <c r="D25" s="30">
        <f>890290+1600</f>
        <v>891890</v>
      </c>
      <c r="E25" s="30">
        <f aca="true" t="shared" si="10" ref="E25:J25">890290+1600</f>
        <v>891890</v>
      </c>
      <c r="F25" s="30">
        <f t="shared" si="10"/>
        <v>891890</v>
      </c>
      <c r="G25" s="30">
        <f t="shared" si="10"/>
        <v>891890</v>
      </c>
      <c r="H25" s="30">
        <f t="shared" si="10"/>
        <v>891890</v>
      </c>
      <c r="I25" s="30">
        <f t="shared" si="10"/>
        <v>891890</v>
      </c>
      <c r="J25" s="30">
        <f t="shared" si="10"/>
        <v>891890</v>
      </c>
      <c r="K25" s="78">
        <v>890000</v>
      </c>
      <c r="L25" s="100">
        <f t="shared" si="0"/>
        <v>-1890</v>
      </c>
      <c r="M25" s="101">
        <f t="shared" si="1"/>
        <v>0.9978809045958582</v>
      </c>
      <c r="N25" s="101">
        <f t="shared" si="5"/>
        <v>0.7574713376888503</v>
      </c>
      <c r="O25" s="116">
        <f>D25/C25</f>
        <v>0.7590799004172007</v>
      </c>
    </row>
    <row r="26" spans="1:15" ht="78">
      <c r="A26" s="53" t="s">
        <v>130</v>
      </c>
      <c r="B26" s="46" t="s">
        <v>88</v>
      </c>
      <c r="C26" s="79">
        <v>-59019.98</v>
      </c>
      <c r="D26" s="30">
        <v>55820</v>
      </c>
      <c r="E26" s="30">
        <v>55821</v>
      </c>
      <c r="F26" s="30">
        <v>55822</v>
      </c>
      <c r="G26" s="30">
        <v>55823</v>
      </c>
      <c r="H26" s="30">
        <v>55824</v>
      </c>
      <c r="I26" s="30">
        <v>55825</v>
      </c>
      <c r="J26" s="30">
        <v>55826</v>
      </c>
      <c r="K26" s="78">
        <v>0</v>
      </c>
      <c r="L26" s="100">
        <f t="shared" si="0"/>
        <v>-55820</v>
      </c>
      <c r="M26" s="101">
        <f t="shared" si="1"/>
        <v>0</v>
      </c>
      <c r="N26" s="101">
        <f t="shared" si="5"/>
        <v>0</v>
      </c>
      <c r="O26" s="116">
        <f t="shared" si="6"/>
        <v>-0.9457814116507663</v>
      </c>
    </row>
    <row r="27" spans="1:30" s="1" customFormat="1" ht="15">
      <c r="A27" s="33" t="s">
        <v>54</v>
      </c>
      <c r="B27" s="45" t="s">
        <v>53</v>
      </c>
      <c r="C27" s="29">
        <f aca="true" t="shared" si="11" ref="C27:K27">C34+C28+C37</f>
        <v>2580987.0599999996</v>
      </c>
      <c r="D27" s="29">
        <f t="shared" si="11"/>
        <v>3346400</v>
      </c>
      <c r="E27" s="29">
        <f t="shared" si="11"/>
        <v>3346403</v>
      </c>
      <c r="F27" s="29">
        <f t="shared" si="11"/>
        <v>3346406</v>
      </c>
      <c r="G27" s="29">
        <f t="shared" si="11"/>
        <v>3346409</v>
      </c>
      <c r="H27" s="29">
        <f t="shared" si="11"/>
        <v>3346412</v>
      </c>
      <c r="I27" s="29">
        <f t="shared" si="11"/>
        <v>3346415</v>
      </c>
      <c r="J27" s="29">
        <f t="shared" si="11"/>
        <v>3346418</v>
      </c>
      <c r="K27" s="77">
        <f t="shared" si="11"/>
        <v>2891000</v>
      </c>
      <c r="L27" s="102">
        <f t="shared" si="0"/>
        <v>-455400</v>
      </c>
      <c r="M27" s="103">
        <f t="shared" si="1"/>
        <v>0.86391345923978</v>
      </c>
      <c r="N27" s="103">
        <f t="shared" si="5"/>
        <v>1.1201141008432645</v>
      </c>
      <c r="O27" s="115">
        <f t="shared" si="6"/>
        <v>1.2965582245112073</v>
      </c>
      <c r="P27" s="3"/>
      <c r="Q27" s="3"/>
      <c r="R27" s="3"/>
      <c r="S27" s="3"/>
      <c r="T27" s="3"/>
      <c r="U27" s="3"/>
      <c r="V27" s="3"/>
      <c r="W27" s="3"/>
      <c r="X27" s="3"/>
      <c r="Y27" s="3"/>
      <c r="Z27" s="3"/>
      <c r="AA27" s="3"/>
      <c r="AB27" s="3"/>
      <c r="AC27" s="3"/>
      <c r="AD27" s="3"/>
    </row>
    <row r="28" spans="1:30" s="1" customFormat="1" ht="30.75">
      <c r="A28" s="31" t="s">
        <v>74</v>
      </c>
      <c r="B28" s="45" t="s">
        <v>75</v>
      </c>
      <c r="C28" s="29">
        <f aca="true" t="shared" si="12" ref="C28:K28">C29+C32</f>
        <v>93005.42000000001</v>
      </c>
      <c r="D28" s="29">
        <f t="shared" si="12"/>
        <v>366000</v>
      </c>
      <c r="E28" s="29">
        <f t="shared" si="12"/>
        <v>366001</v>
      </c>
      <c r="F28" s="29">
        <f t="shared" si="12"/>
        <v>366002</v>
      </c>
      <c r="G28" s="29">
        <f t="shared" si="12"/>
        <v>366003</v>
      </c>
      <c r="H28" s="29">
        <f t="shared" si="12"/>
        <v>366004</v>
      </c>
      <c r="I28" s="29">
        <f t="shared" si="12"/>
        <v>366005</v>
      </c>
      <c r="J28" s="29">
        <f t="shared" si="12"/>
        <v>366006</v>
      </c>
      <c r="K28" s="77">
        <f t="shared" si="12"/>
        <v>265000</v>
      </c>
      <c r="L28" s="102">
        <f t="shared" si="0"/>
        <v>-101000</v>
      </c>
      <c r="M28" s="103">
        <f t="shared" si="1"/>
        <v>0.7240437158469946</v>
      </c>
      <c r="N28" s="103">
        <f t="shared" si="5"/>
        <v>2.8492963098279644</v>
      </c>
      <c r="O28" s="115">
        <f t="shared" si="6"/>
        <v>3.9352545260265472</v>
      </c>
      <c r="P28" s="3"/>
      <c r="Q28" s="3"/>
      <c r="R28" s="3"/>
      <c r="S28" s="3"/>
      <c r="T28" s="3"/>
      <c r="U28" s="3"/>
      <c r="V28" s="3"/>
      <c r="W28" s="3"/>
      <c r="X28" s="3"/>
      <c r="Y28" s="3"/>
      <c r="Z28" s="3"/>
      <c r="AA28" s="3"/>
      <c r="AB28" s="3"/>
      <c r="AC28" s="3"/>
      <c r="AD28" s="3"/>
    </row>
    <row r="29" spans="1:30" s="1" customFormat="1" ht="30.75">
      <c r="A29" s="28" t="s">
        <v>203</v>
      </c>
      <c r="B29" s="46" t="s">
        <v>76</v>
      </c>
      <c r="C29" s="30">
        <f>C30+C31</f>
        <v>4162.6</v>
      </c>
      <c r="D29" s="30">
        <f>D30+D31</f>
        <v>143000</v>
      </c>
      <c r="E29" s="30">
        <f aca="true" t="shared" si="13" ref="E29:K29">E30+E31</f>
        <v>143001</v>
      </c>
      <c r="F29" s="30">
        <f t="shared" si="13"/>
        <v>143002</v>
      </c>
      <c r="G29" s="30">
        <f t="shared" si="13"/>
        <v>143003</v>
      </c>
      <c r="H29" s="30">
        <f t="shared" si="13"/>
        <v>143004</v>
      </c>
      <c r="I29" s="30">
        <f t="shared" si="13"/>
        <v>143005</v>
      </c>
      <c r="J29" s="30">
        <f t="shared" si="13"/>
        <v>143006</v>
      </c>
      <c r="K29" s="78">
        <f t="shared" si="13"/>
        <v>40000</v>
      </c>
      <c r="L29" s="100">
        <f t="shared" si="0"/>
        <v>-103000</v>
      </c>
      <c r="M29" s="101">
        <f t="shared" si="1"/>
        <v>0.27972027972027974</v>
      </c>
      <c r="N29" s="101">
        <f t="shared" si="5"/>
        <v>9.609378753663576</v>
      </c>
      <c r="O29" s="116">
        <f t="shared" si="6"/>
        <v>34.35352904434728</v>
      </c>
      <c r="P29" s="3"/>
      <c r="Q29" s="3"/>
      <c r="R29" s="3"/>
      <c r="S29" s="3"/>
      <c r="T29" s="3"/>
      <c r="U29" s="3"/>
      <c r="V29" s="3"/>
      <c r="W29" s="3"/>
      <c r="X29" s="3"/>
      <c r="Y29" s="3"/>
      <c r="Z29" s="3"/>
      <c r="AA29" s="3"/>
      <c r="AB29" s="3"/>
      <c r="AC29" s="3"/>
      <c r="AD29" s="3"/>
    </row>
    <row r="30" spans="1:30" s="1" customFormat="1" ht="30.75">
      <c r="A30" s="28" t="s">
        <v>203</v>
      </c>
      <c r="B30" s="46" t="s">
        <v>80</v>
      </c>
      <c r="C30" s="79">
        <v>9029.18</v>
      </c>
      <c r="D30" s="30">
        <f>151000-8000</f>
        <v>143000</v>
      </c>
      <c r="E30" s="30">
        <f aca="true" t="shared" si="14" ref="E30:J30">151000-8000</f>
        <v>143000</v>
      </c>
      <c r="F30" s="30">
        <f t="shared" si="14"/>
        <v>143000</v>
      </c>
      <c r="G30" s="30">
        <f t="shared" si="14"/>
        <v>143000</v>
      </c>
      <c r="H30" s="30">
        <f t="shared" si="14"/>
        <v>143000</v>
      </c>
      <c r="I30" s="30">
        <f t="shared" si="14"/>
        <v>143000</v>
      </c>
      <c r="J30" s="30">
        <f t="shared" si="14"/>
        <v>143000</v>
      </c>
      <c r="K30" s="78">
        <v>40000</v>
      </c>
      <c r="L30" s="100">
        <f t="shared" si="0"/>
        <v>-103000</v>
      </c>
      <c r="M30" s="101">
        <f t="shared" si="1"/>
        <v>0.27972027972027974</v>
      </c>
      <c r="N30" s="101">
        <f t="shared" si="5"/>
        <v>4.430081136936023</v>
      </c>
      <c r="O30" s="116">
        <f t="shared" si="6"/>
        <v>15.837540064546282</v>
      </c>
      <c r="P30" s="3"/>
      <c r="Q30" s="3"/>
      <c r="R30" s="3"/>
      <c r="S30" s="3"/>
      <c r="T30" s="3"/>
      <c r="U30" s="3"/>
      <c r="V30" s="3"/>
      <c r="W30" s="3"/>
      <c r="X30" s="3"/>
      <c r="Y30" s="3"/>
      <c r="Z30" s="3"/>
      <c r="AA30" s="3"/>
      <c r="AB30" s="3"/>
      <c r="AC30" s="3"/>
      <c r="AD30" s="3"/>
    </row>
    <row r="31" spans="1:30" s="1" customFormat="1" ht="46.5">
      <c r="A31" s="28" t="s">
        <v>202</v>
      </c>
      <c r="B31" s="46" t="s">
        <v>81</v>
      </c>
      <c r="C31" s="79">
        <v>-4866.58</v>
      </c>
      <c r="D31" s="30">
        <v>0</v>
      </c>
      <c r="E31" s="30">
        <v>1</v>
      </c>
      <c r="F31" s="30">
        <v>2</v>
      </c>
      <c r="G31" s="30">
        <v>3</v>
      </c>
      <c r="H31" s="30">
        <v>4</v>
      </c>
      <c r="I31" s="30">
        <v>5</v>
      </c>
      <c r="J31" s="30">
        <v>6</v>
      </c>
      <c r="K31" s="78">
        <v>0</v>
      </c>
      <c r="L31" s="100">
        <f t="shared" si="0"/>
        <v>0</v>
      </c>
      <c r="M31" s="101">
        <v>0</v>
      </c>
      <c r="N31" s="101">
        <f t="shared" si="5"/>
        <v>0</v>
      </c>
      <c r="O31" s="116">
        <f t="shared" si="6"/>
        <v>0</v>
      </c>
      <c r="P31" s="3"/>
      <c r="Q31" s="3"/>
      <c r="R31" s="3"/>
      <c r="S31" s="3"/>
      <c r="T31" s="3"/>
      <c r="U31" s="3"/>
      <c r="V31" s="3"/>
      <c r="W31" s="3"/>
      <c r="X31" s="3"/>
      <c r="Y31" s="3"/>
      <c r="Z31" s="3"/>
      <c r="AA31" s="3"/>
      <c r="AB31" s="3"/>
      <c r="AC31" s="3"/>
      <c r="AD31" s="3"/>
    </row>
    <row r="32" spans="1:30" s="26" customFormat="1" ht="46.5">
      <c r="A32" s="31" t="s">
        <v>201</v>
      </c>
      <c r="B32" s="45" t="s">
        <v>82</v>
      </c>
      <c r="C32" s="29">
        <f>C33</f>
        <v>88842.82</v>
      </c>
      <c r="D32" s="29">
        <f>D33</f>
        <v>223000</v>
      </c>
      <c r="E32" s="29">
        <f aca="true" t="shared" si="15" ref="E32:K32">E33</f>
        <v>223000</v>
      </c>
      <c r="F32" s="29">
        <f t="shared" si="15"/>
        <v>223000</v>
      </c>
      <c r="G32" s="29">
        <f t="shared" si="15"/>
        <v>223000</v>
      </c>
      <c r="H32" s="29">
        <f t="shared" si="15"/>
        <v>223000</v>
      </c>
      <c r="I32" s="29">
        <f t="shared" si="15"/>
        <v>223000</v>
      </c>
      <c r="J32" s="29">
        <f t="shared" si="15"/>
        <v>223000</v>
      </c>
      <c r="K32" s="77">
        <f t="shared" si="15"/>
        <v>225000</v>
      </c>
      <c r="L32" s="102">
        <f t="shared" si="0"/>
        <v>2000</v>
      </c>
      <c r="M32" s="103">
        <f t="shared" si="1"/>
        <v>1.0089686098654709</v>
      </c>
      <c r="N32" s="103">
        <f t="shared" si="5"/>
        <v>2.5325625638627858</v>
      </c>
      <c r="O32" s="115">
        <f t="shared" si="6"/>
        <v>2.51005089662845</v>
      </c>
      <c r="P32" s="25"/>
      <c r="Q32" s="25"/>
      <c r="R32" s="25"/>
      <c r="S32" s="25"/>
      <c r="T32" s="25"/>
      <c r="U32" s="25"/>
      <c r="V32" s="25"/>
      <c r="W32" s="25"/>
      <c r="X32" s="25"/>
      <c r="Y32" s="25"/>
      <c r="Z32" s="25"/>
      <c r="AA32" s="25"/>
      <c r="AB32" s="25"/>
      <c r="AC32" s="25"/>
      <c r="AD32" s="25"/>
    </row>
    <row r="33" spans="1:30" s="26" customFormat="1" ht="46.5">
      <c r="A33" s="28" t="s">
        <v>201</v>
      </c>
      <c r="B33" s="46" t="s">
        <v>83</v>
      </c>
      <c r="C33" s="79">
        <v>88842.82</v>
      </c>
      <c r="D33" s="30">
        <f>113000+110000</f>
        <v>223000</v>
      </c>
      <c r="E33" s="30">
        <f aca="true" t="shared" si="16" ref="E33:J33">113000+110000</f>
        <v>223000</v>
      </c>
      <c r="F33" s="30">
        <f t="shared" si="16"/>
        <v>223000</v>
      </c>
      <c r="G33" s="30">
        <f t="shared" si="16"/>
        <v>223000</v>
      </c>
      <c r="H33" s="30">
        <f t="shared" si="16"/>
        <v>223000</v>
      </c>
      <c r="I33" s="30">
        <f t="shared" si="16"/>
        <v>223000</v>
      </c>
      <c r="J33" s="30">
        <f t="shared" si="16"/>
        <v>223000</v>
      </c>
      <c r="K33" s="78">
        <v>225000</v>
      </c>
      <c r="L33" s="100">
        <f t="shared" si="0"/>
        <v>2000</v>
      </c>
      <c r="M33" s="101">
        <f t="shared" si="1"/>
        <v>1.0089686098654709</v>
      </c>
      <c r="N33" s="101">
        <f t="shared" si="5"/>
        <v>2.5325625638627858</v>
      </c>
      <c r="O33" s="116">
        <f t="shared" si="6"/>
        <v>2.51005089662845</v>
      </c>
      <c r="P33" s="25"/>
      <c r="Q33" s="25"/>
      <c r="R33" s="25"/>
      <c r="S33" s="25"/>
      <c r="T33" s="25"/>
      <c r="U33" s="25"/>
      <c r="V33" s="25"/>
      <c r="W33" s="25"/>
      <c r="X33" s="25"/>
      <c r="Y33" s="25"/>
      <c r="Z33" s="25"/>
      <c r="AA33" s="25"/>
      <c r="AB33" s="25"/>
      <c r="AC33" s="25"/>
      <c r="AD33" s="25"/>
    </row>
    <row r="34" spans="1:30" s="1" customFormat="1" ht="30.75">
      <c r="A34" s="31" t="s">
        <v>200</v>
      </c>
      <c r="B34" s="45" t="s">
        <v>7</v>
      </c>
      <c r="C34" s="29">
        <f>C35+C36</f>
        <v>2444586.26</v>
      </c>
      <c r="D34" s="29">
        <f>D35+D36</f>
        <v>2927400</v>
      </c>
      <c r="E34" s="29">
        <f aca="true" t="shared" si="17" ref="E34:K34">E35+E36</f>
        <v>2927401</v>
      </c>
      <c r="F34" s="29">
        <f t="shared" si="17"/>
        <v>2927402</v>
      </c>
      <c r="G34" s="29">
        <f t="shared" si="17"/>
        <v>2927403</v>
      </c>
      <c r="H34" s="29">
        <f t="shared" si="17"/>
        <v>2927404</v>
      </c>
      <c r="I34" s="29">
        <f t="shared" si="17"/>
        <v>2927405</v>
      </c>
      <c r="J34" s="29">
        <f t="shared" si="17"/>
        <v>2927406</v>
      </c>
      <c r="K34" s="77">
        <f t="shared" si="17"/>
        <v>2560000</v>
      </c>
      <c r="L34" s="102">
        <f t="shared" si="0"/>
        <v>-367400</v>
      </c>
      <c r="M34" s="103">
        <f t="shared" si="1"/>
        <v>0.8744961399193824</v>
      </c>
      <c r="N34" s="103">
        <f t="shared" si="5"/>
        <v>1.0472119727941203</v>
      </c>
      <c r="O34" s="115">
        <f t="shared" si="6"/>
        <v>1.1975032535771515</v>
      </c>
      <c r="P34" s="3"/>
      <c r="Q34" s="3"/>
      <c r="R34" s="3"/>
      <c r="S34" s="3"/>
      <c r="T34" s="3"/>
      <c r="U34" s="3"/>
      <c r="V34" s="3"/>
      <c r="W34" s="3"/>
      <c r="X34" s="3"/>
      <c r="Y34" s="3"/>
      <c r="Z34" s="3"/>
      <c r="AA34" s="3"/>
      <c r="AB34" s="3"/>
      <c r="AC34" s="3"/>
      <c r="AD34" s="3"/>
    </row>
    <row r="35" spans="1:30" s="15" customFormat="1" ht="30.75">
      <c r="A35" s="28" t="s">
        <v>1</v>
      </c>
      <c r="B35" s="46" t="s">
        <v>12</v>
      </c>
      <c r="C35" s="79">
        <v>2453748.78</v>
      </c>
      <c r="D35" s="30">
        <f>3333000-410600</f>
        <v>2922400</v>
      </c>
      <c r="E35" s="30">
        <f aca="true" t="shared" si="18" ref="E35:J35">3333000-410600</f>
        <v>2922400</v>
      </c>
      <c r="F35" s="30">
        <f t="shared" si="18"/>
        <v>2922400</v>
      </c>
      <c r="G35" s="30">
        <f t="shared" si="18"/>
        <v>2922400</v>
      </c>
      <c r="H35" s="30">
        <f t="shared" si="18"/>
        <v>2922400</v>
      </c>
      <c r="I35" s="30">
        <f t="shared" si="18"/>
        <v>2922400</v>
      </c>
      <c r="J35" s="30">
        <f t="shared" si="18"/>
        <v>2922400</v>
      </c>
      <c r="K35" s="78">
        <v>2555000</v>
      </c>
      <c r="L35" s="100">
        <f t="shared" si="0"/>
        <v>-367400</v>
      </c>
      <c r="M35" s="101">
        <f t="shared" si="1"/>
        <v>0.8742814125376402</v>
      </c>
      <c r="N35" s="101">
        <f t="shared" si="5"/>
        <v>1.0412638901036968</v>
      </c>
      <c r="O35" s="116">
        <f t="shared" si="6"/>
        <v>1.1909939696434613</v>
      </c>
      <c r="P35" s="5"/>
      <c r="Q35" s="5"/>
      <c r="R35" s="5"/>
      <c r="S35" s="5"/>
      <c r="T35" s="5"/>
      <c r="U35" s="5"/>
      <c r="V35" s="5"/>
      <c r="W35" s="5"/>
      <c r="X35" s="5"/>
      <c r="Y35" s="5"/>
      <c r="Z35" s="5"/>
      <c r="AA35" s="5"/>
      <c r="AB35" s="5"/>
      <c r="AC35" s="5"/>
      <c r="AD35" s="5"/>
    </row>
    <row r="36" spans="1:30" s="15" customFormat="1" ht="46.5">
      <c r="A36" s="28" t="s">
        <v>135</v>
      </c>
      <c r="B36" s="46" t="s">
        <v>134</v>
      </c>
      <c r="C36" s="79">
        <v>-9162.52</v>
      </c>
      <c r="D36" s="30">
        <v>5000</v>
      </c>
      <c r="E36" s="30">
        <v>5001</v>
      </c>
      <c r="F36" s="30">
        <v>5002</v>
      </c>
      <c r="G36" s="30">
        <v>5003</v>
      </c>
      <c r="H36" s="30">
        <v>5004</v>
      </c>
      <c r="I36" s="30">
        <v>5005</v>
      </c>
      <c r="J36" s="30">
        <v>5006</v>
      </c>
      <c r="K36" s="78">
        <v>5000</v>
      </c>
      <c r="L36" s="100">
        <f t="shared" si="0"/>
        <v>0</v>
      </c>
      <c r="M36" s="101">
        <f t="shared" si="1"/>
        <v>1</v>
      </c>
      <c r="N36" s="101">
        <f t="shared" si="5"/>
        <v>-0.5457014009246365</v>
      </c>
      <c r="O36" s="116">
        <f t="shared" si="6"/>
        <v>-0.5457014009246365</v>
      </c>
      <c r="P36" s="5"/>
      <c r="Q36" s="5"/>
      <c r="R36" s="5"/>
      <c r="S36" s="5"/>
      <c r="T36" s="5"/>
      <c r="U36" s="5"/>
      <c r="V36" s="5"/>
      <c r="W36" s="5"/>
      <c r="X36" s="5"/>
      <c r="Y36" s="5"/>
      <c r="Z36" s="5"/>
      <c r="AA36" s="5"/>
      <c r="AB36" s="5"/>
      <c r="AC36" s="5"/>
      <c r="AD36" s="5"/>
    </row>
    <row r="37" spans="1:30" s="1" customFormat="1" ht="30.75">
      <c r="A37" s="31" t="s">
        <v>199</v>
      </c>
      <c r="B37" s="45" t="s">
        <v>77</v>
      </c>
      <c r="C37" s="29">
        <f>C38</f>
        <v>43395.38</v>
      </c>
      <c r="D37" s="29">
        <f>D38</f>
        <v>53000</v>
      </c>
      <c r="E37" s="29">
        <f aca="true" t="shared" si="19" ref="E37:K37">E38</f>
        <v>53001</v>
      </c>
      <c r="F37" s="29">
        <f t="shared" si="19"/>
        <v>53002</v>
      </c>
      <c r="G37" s="29">
        <f t="shared" si="19"/>
        <v>53003</v>
      </c>
      <c r="H37" s="29">
        <f t="shared" si="19"/>
        <v>53004</v>
      </c>
      <c r="I37" s="29">
        <f t="shared" si="19"/>
        <v>53005</v>
      </c>
      <c r="J37" s="29">
        <f t="shared" si="19"/>
        <v>53006</v>
      </c>
      <c r="K37" s="64">
        <f t="shared" si="19"/>
        <v>66000</v>
      </c>
      <c r="L37" s="102">
        <f t="shared" si="0"/>
        <v>13000</v>
      </c>
      <c r="M37" s="103">
        <f t="shared" si="1"/>
        <v>1.2452830188679245</v>
      </c>
      <c r="N37" s="103">
        <f t="shared" si="5"/>
        <v>1.5208992293649695</v>
      </c>
      <c r="O37" s="115">
        <f t="shared" si="6"/>
        <v>1.2213281690355058</v>
      </c>
      <c r="P37" s="3"/>
      <c r="Q37" s="3"/>
      <c r="R37" s="3"/>
      <c r="S37" s="3"/>
      <c r="T37" s="3"/>
      <c r="U37" s="3"/>
      <c r="V37" s="3"/>
      <c r="W37" s="3"/>
      <c r="X37" s="3"/>
      <c r="Y37" s="3"/>
      <c r="Z37" s="3"/>
      <c r="AA37" s="3"/>
      <c r="AB37" s="3"/>
      <c r="AC37" s="3"/>
      <c r="AD37" s="3"/>
    </row>
    <row r="38" spans="1:30" s="15" customFormat="1" ht="30.75">
      <c r="A38" s="28" t="s">
        <v>198</v>
      </c>
      <c r="B38" s="46" t="s">
        <v>78</v>
      </c>
      <c r="C38" s="79">
        <v>43395.38</v>
      </c>
      <c r="D38" s="30">
        <v>53000</v>
      </c>
      <c r="E38" s="30">
        <v>53001</v>
      </c>
      <c r="F38" s="30">
        <v>53002</v>
      </c>
      <c r="G38" s="30">
        <v>53003</v>
      </c>
      <c r="H38" s="30">
        <v>53004</v>
      </c>
      <c r="I38" s="30">
        <v>53005</v>
      </c>
      <c r="J38" s="30">
        <v>53006</v>
      </c>
      <c r="K38" s="65">
        <v>66000</v>
      </c>
      <c r="L38" s="100">
        <f t="shared" si="0"/>
        <v>13000</v>
      </c>
      <c r="M38" s="101">
        <f t="shared" si="1"/>
        <v>1.2452830188679245</v>
      </c>
      <c r="N38" s="101">
        <f t="shared" si="5"/>
        <v>1.5208992293649695</v>
      </c>
      <c r="O38" s="116">
        <f t="shared" si="6"/>
        <v>1.2213281690355058</v>
      </c>
      <c r="P38" s="5"/>
      <c r="Q38" s="5"/>
      <c r="R38" s="5"/>
      <c r="S38" s="5"/>
      <c r="T38" s="5"/>
      <c r="U38" s="5"/>
      <c r="V38" s="5"/>
      <c r="W38" s="5"/>
      <c r="X38" s="5"/>
      <c r="Y38" s="5"/>
      <c r="Z38" s="5"/>
      <c r="AA38" s="5"/>
      <c r="AB38" s="5"/>
      <c r="AC38" s="5"/>
      <c r="AD38" s="5"/>
    </row>
    <row r="39" spans="1:30" s="1" customFormat="1" ht="15">
      <c r="A39" s="33" t="s">
        <v>98</v>
      </c>
      <c r="B39" s="45" t="s">
        <v>99</v>
      </c>
      <c r="C39" s="29">
        <f>C40+C42</f>
        <v>7582.709999999999</v>
      </c>
      <c r="D39" s="29">
        <f aca="true" t="shared" si="20" ref="D39:K39">D40+D42</f>
        <v>8000</v>
      </c>
      <c r="E39" s="29">
        <f t="shared" si="20"/>
        <v>8002</v>
      </c>
      <c r="F39" s="29">
        <f t="shared" si="20"/>
        <v>8004</v>
      </c>
      <c r="G39" s="29">
        <f t="shared" si="20"/>
        <v>8006</v>
      </c>
      <c r="H39" s="29">
        <f t="shared" si="20"/>
        <v>8008</v>
      </c>
      <c r="I39" s="29">
        <f t="shared" si="20"/>
        <v>8010</v>
      </c>
      <c r="J39" s="29">
        <f t="shared" si="20"/>
        <v>8012</v>
      </c>
      <c r="K39" s="64">
        <f t="shared" si="20"/>
        <v>2000</v>
      </c>
      <c r="L39" s="102">
        <f t="shared" si="0"/>
        <v>-6000</v>
      </c>
      <c r="M39" s="103">
        <f t="shared" si="1"/>
        <v>0.25</v>
      </c>
      <c r="N39" s="103">
        <f t="shared" si="5"/>
        <v>0.2637579440595777</v>
      </c>
      <c r="O39" s="115">
        <f t="shared" si="6"/>
        <v>1.0550317762383108</v>
      </c>
      <c r="P39" s="3"/>
      <c r="Q39" s="3"/>
      <c r="R39" s="3"/>
      <c r="S39" s="3"/>
      <c r="T39" s="3"/>
      <c r="U39" s="3"/>
      <c r="V39" s="3"/>
      <c r="W39" s="3"/>
      <c r="X39" s="3"/>
      <c r="Y39" s="3"/>
      <c r="Z39" s="3"/>
      <c r="AA39" s="3"/>
      <c r="AB39" s="3"/>
      <c r="AC39" s="3"/>
      <c r="AD39" s="3"/>
    </row>
    <row r="40" spans="1:30" s="1" customFormat="1" ht="15">
      <c r="A40" s="33" t="s">
        <v>196</v>
      </c>
      <c r="B40" s="45" t="s">
        <v>97</v>
      </c>
      <c r="C40" s="29">
        <f aca="true" t="shared" si="21" ref="C40:K40">C41</f>
        <v>3609.74</v>
      </c>
      <c r="D40" s="29">
        <f t="shared" si="21"/>
        <v>5000</v>
      </c>
      <c r="E40" s="29">
        <f t="shared" si="21"/>
        <v>5000</v>
      </c>
      <c r="F40" s="29">
        <f t="shared" si="21"/>
        <v>5000</v>
      </c>
      <c r="G40" s="29">
        <f t="shared" si="21"/>
        <v>5000</v>
      </c>
      <c r="H40" s="29">
        <f t="shared" si="21"/>
        <v>5000</v>
      </c>
      <c r="I40" s="29">
        <f t="shared" si="21"/>
        <v>5000</v>
      </c>
      <c r="J40" s="29">
        <f t="shared" si="21"/>
        <v>5000</v>
      </c>
      <c r="K40" s="64">
        <f t="shared" si="21"/>
        <v>2000</v>
      </c>
      <c r="L40" s="102">
        <f t="shared" si="0"/>
        <v>-3000</v>
      </c>
      <c r="M40" s="103">
        <f t="shared" si="1"/>
        <v>0.4</v>
      </c>
      <c r="N40" s="103">
        <f t="shared" si="5"/>
        <v>0.5540565248466649</v>
      </c>
      <c r="O40" s="115">
        <f t="shared" si="6"/>
        <v>1.3851413121166622</v>
      </c>
      <c r="P40" s="3"/>
      <c r="Q40" s="3"/>
      <c r="R40" s="3"/>
      <c r="S40" s="3"/>
      <c r="T40" s="3"/>
      <c r="U40" s="3"/>
      <c r="V40" s="3"/>
      <c r="W40" s="3"/>
      <c r="X40" s="3"/>
      <c r="Y40" s="3"/>
      <c r="Z40" s="3"/>
      <c r="AA40" s="3"/>
      <c r="AB40" s="3"/>
      <c r="AC40" s="3"/>
      <c r="AD40" s="3"/>
    </row>
    <row r="41" spans="1:30" s="15" customFormat="1" ht="46.5">
      <c r="A41" s="34" t="s">
        <v>197</v>
      </c>
      <c r="B41" s="46" t="s">
        <v>96</v>
      </c>
      <c r="C41" s="79">
        <v>3609.74</v>
      </c>
      <c r="D41" s="30">
        <f>3000+2000</f>
        <v>5000</v>
      </c>
      <c r="E41" s="30">
        <f aca="true" t="shared" si="22" ref="E41:J41">3000+2000</f>
        <v>5000</v>
      </c>
      <c r="F41" s="30">
        <f t="shared" si="22"/>
        <v>5000</v>
      </c>
      <c r="G41" s="30">
        <f t="shared" si="22"/>
        <v>5000</v>
      </c>
      <c r="H41" s="30">
        <f t="shared" si="22"/>
        <v>5000</v>
      </c>
      <c r="I41" s="30">
        <f t="shared" si="22"/>
        <v>5000</v>
      </c>
      <c r="J41" s="30">
        <f t="shared" si="22"/>
        <v>5000</v>
      </c>
      <c r="K41" s="65">
        <v>2000</v>
      </c>
      <c r="L41" s="100">
        <f t="shared" si="0"/>
        <v>-3000</v>
      </c>
      <c r="M41" s="101">
        <f t="shared" si="1"/>
        <v>0.4</v>
      </c>
      <c r="N41" s="101">
        <f t="shared" si="5"/>
        <v>0.5540565248466649</v>
      </c>
      <c r="O41" s="116">
        <f t="shared" si="6"/>
        <v>1.3851413121166622</v>
      </c>
      <c r="P41" s="5"/>
      <c r="Q41" s="5"/>
      <c r="R41" s="5"/>
      <c r="S41" s="5"/>
      <c r="T41" s="5"/>
      <c r="U41" s="5"/>
      <c r="V41" s="5"/>
      <c r="W41" s="5"/>
      <c r="X41" s="5"/>
      <c r="Y41" s="5"/>
      <c r="Z41" s="5"/>
      <c r="AA41" s="5"/>
      <c r="AB41" s="5"/>
      <c r="AC41" s="5"/>
      <c r="AD41" s="5"/>
    </row>
    <row r="42" spans="1:30" s="1" customFormat="1" ht="15">
      <c r="A42" s="35" t="s">
        <v>195</v>
      </c>
      <c r="B42" s="45" t="s">
        <v>95</v>
      </c>
      <c r="C42" s="29">
        <f>C47+C49+C43+C45</f>
        <v>3972.97</v>
      </c>
      <c r="D42" s="29">
        <f>D47+D49</f>
        <v>3000</v>
      </c>
      <c r="E42" s="29">
        <f aca="true" t="shared" si="23" ref="E42:K42">E47+E49</f>
        <v>3002</v>
      </c>
      <c r="F42" s="29">
        <f t="shared" si="23"/>
        <v>3004</v>
      </c>
      <c r="G42" s="29">
        <f t="shared" si="23"/>
        <v>3006</v>
      </c>
      <c r="H42" s="29">
        <f t="shared" si="23"/>
        <v>3008</v>
      </c>
      <c r="I42" s="29">
        <f t="shared" si="23"/>
        <v>3010</v>
      </c>
      <c r="J42" s="29">
        <f t="shared" si="23"/>
        <v>3012</v>
      </c>
      <c r="K42" s="64">
        <f t="shared" si="23"/>
        <v>0</v>
      </c>
      <c r="L42" s="102">
        <f t="shared" si="0"/>
        <v>-3000</v>
      </c>
      <c r="M42" s="103">
        <f t="shared" si="1"/>
        <v>0</v>
      </c>
      <c r="N42" s="103">
        <v>0</v>
      </c>
      <c r="O42" s="115">
        <v>0</v>
      </c>
      <c r="P42" s="3"/>
      <c r="Q42" s="3"/>
      <c r="R42" s="3"/>
      <c r="S42" s="3"/>
      <c r="T42" s="3"/>
      <c r="U42" s="3"/>
      <c r="V42" s="3"/>
      <c r="W42" s="3"/>
      <c r="X42" s="3"/>
      <c r="Y42" s="3"/>
      <c r="Z42" s="3"/>
      <c r="AA42" s="3"/>
      <c r="AB42" s="3"/>
      <c r="AC42" s="3"/>
      <c r="AD42" s="3"/>
    </row>
    <row r="43" spans="1:30" s="1" customFormat="1" ht="78">
      <c r="A43" s="35" t="s">
        <v>225</v>
      </c>
      <c r="B43" s="45" t="s">
        <v>220</v>
      </c>
      <c r="C43" s="29">
        <f>C44</f>
        <v>-27.03</v>
      </c>
      <c r="D43" s="29">
        <v>0</v>
      </c>
      <c r="E43" s="29"/>
      <c r="F43" s="29"/>
      <c r="G43" s="29"/>
      <c r="H43" s="29"/>
      <c r="I43" s="29"/>
      <c r="J43" s="29"/>
      <c r="K43" s="64">
        <v>0</v>
      </c>
      <c r="L43" s="102">
        <v>0</v>
      </c>
      <c r="M43" s="117">
        <v>0</v>
      </c>
      <c r="N43" s="103">
        <f t="shared" si="5"/>
        <v>0</v>
      </c>
      <c r="O43" s="115">
        <f t="shared" si="6"/>
        <v>0</v>
      </c>
      <c r="P43" s="3"/>
      <c r="Q43" s="3"/>
      <c r="R43" s="3"/>
      <c r="S43" s="3"/>
      <c r="T43" s="3"/>
      <c r="U43" s="3"/>
      <c r="V43" s="3"/>
      <c r="W43" s="3"/>
      <c r="X43" s="3"/>
      <c r="Y43" s="3"/>
      <c r="Z43" s="3"/>
      <c r="AA43" s="3"/>
      <c r="AB43" s="3"/>
      <c r="AC43" s="3"/>
      <c r="AD43" s="3"/>
    </row>
    <row r="44" spans="1:30" s="82" customFormat="1" ht="66">
      <c r="A44" s="83" t="s">
        <v>223</v>
      </c>
      <c r="B44" s="46" t="s">
        <v>224</v>
      </c>
      <c r="C44" s="30">
        <v>-27.03</v>
      </c>
      <c r="D44" s="29">
        <v>0</v>
      </c>
      <c r="E44" s="30"/>
      <c r="F44" s="30"/>
      <c r="G44" s="30"/>
      <c r="H44" s="30"/>
      <c r="I44" s="30"/>
      <c r="J44" s="30"/>
      <c r="K44" s="64">
        <v>0</v>
      </c>
      <c r="L44" s="102">
        <v>0</v>
      </c>
      <c r="M44" s="117">
        <v>0</v>
      </c>
      <c r="N44" s="101">
        <f t="shared" si="5"/>
        <v>0</v>
      </c>
      <c r="O44" s="116">
        <f t="shared" si="6"/>
        <v>0</v>
      </c>
      <c r="P44" s="81"/>
      <c r="Q44" s="81"/>
      <c r="R44" s="81"/>
      <c r="S44" s="81"/>
      <c r="T44" s="81"/>
      <c r="U44" s="81"/>
      <c r="V44" s="81"/>
      <c r="W44" s="81"/>
      <c r="X44" s="81"/>
      <c r="Y44" s="81"/>
      <c r="Z44" s="81"/>
      <c r="AA44" s="81"/>
      <c r="AB44" s="81"/>
      <c r="AC44" s="81"/>
      <c r="AD44" s="81"/>
    </row>
    <row r="45" spans="1:30" s="1" customFormat="1" ht="46.5">
      <c r="A45" s="80" t="s">
        <v>222</v>
      </c>
      <c r="B45" s="45" t="s">
        <v>218</v>
      </c>
      <c r="C45" s="29">
        <f>C46</f>
        <v>4000</v>
      </c>
      <c r="D45" s="29">
        <v>0</v>
      </c>
      <c r="E45" s="29"/>
      <c r="F45" s="29"/>
      <c r="G45" s="29"/>
      <c r="H45" s="29"/>
      <c r="I45" s="29"/>
      <c r="J45" s="29"/>
      <c r="K45" s="64">
        <v>0</v>
      </c>
      <c r="L45" s="102">
        <v>0</v>
      </c>
      <c r="M45" s="117">
        <v>0</v>
      </c>
      <c r="N45" s="101">
        <f t="shared" si="5"/>
        <v>0</v>
      </c>
      <c r="O45" s="116">
        <f t="shared" si="6"/>
        <v>0</v>
      </c>
      <c r="P45" s="3"/>
      <c r="Q45" s="3"/>
      <c r="R45" s="3"/>
      <c r="S45" s="3"/>
      <c r="T45" s="3"/>
      <c r="U45" s="3"/>
      <c r="V45" s="3"/>
      <c r="W45" s="3"/>
      <c r="X45" s="3"/>
      <c r="Y45" s="3"/>
      <c r="Z45" s="3"/>
      <c r="AA45" s="3"/>
      <c r="AB45" s="3"/>
      <c r="AC45" s="3"/>
      <c r="AD45" s="3"/>
    </row>
    <row r="46" spans="1:30" s="82" customFormat="1" ht="62.25">
      <c r="A46" s="80" t="s">
        <v>221</v>
      </c>
      <c r="B46" s="46" t="s">
        <v>219</v>
      </c>
      <c r="C46" s="30">
        <v>4000</v>
      </c>
      <c r="D46" s="29">
        <v>0</v>
      </c>
      <c r="E46" s="30"/>
      <c r="F46" s="30"/>
      <c r="G46" s="30"/>
      <c r="H46" s="30"/>
      <c r="I46" s="30"/>
      <c r="J46" s="30"/>
      <c r="K46" s="64">
        <v>0</v>
      </c>
      <c r="L46" s="102">
        <v>0</v>
      </c>
      <c r="M46" s="117">
        <v>0</v>
      </c>
      <c r="N46" s="101">
        <f t="shared" si="5"/>
        <v>0</v>
      </c>
      <c r="O46" s="116">
        <f t="shared" si="6"/>
        <v>0</v>
      </c>
      <c r="P46" s="81"/>
      <c r="Q46" s="81"/>
      <c r="R46" s="81"/>
      <c r="S46" s="81"/>
      <c r="T46" s="81"/>
      <c r="U46" s="81"/>
      <c r="V46" s="81"/>
      <c r="W46" s="81"/>
      <c r="X46" s="81"/>
      <c r="Y46" s="81"/>
      <c r="Z46" s="81"/>
      <c r="AA46" s="81"/>
      <c r="AB46" s="81"/>
      <c r="AC46" s="81"/>
      <c r="AD46" s="81"/>
    </row>
    <row r="47" spans="1:30" s="1" customFormat="1" ht="15">
      <c r="A47" s="36" t="s">
        <v>132</v>
      </c>
      <c r="B47" s="45" t="s">
        <v>194</v>
      </c>
      <c r="C47" s="29">
        <f>C48</f>
        <v>0</v>
      </c>
      <c r="D47" s="29">
        <f>D48</f>
        <v>2000</v>
      </c>
      <c r="E47" s="29">
        <f aca="true" t="shared" si="24" ref="E47:K47">E48</f>
        <v>2001</v>
      </c>
      <c r="F47" s="29">
        <f t="shared" si="24"/>
        <v>2002</v>
      </c>
      <c r="G47" s="29">
        <f t="shared" si="24"/>
        <v>2003</v>
      </c>
      <c r="H47" s="29">
        <f t="shared" si="24"/>
        <v>2004</v>
      </c>
      <c r="I47" s="29">
        <f t="shared" si="24"/>
        <v>2005</v>
      </c>
      <c r="J47" s="29">
        <f t="shared" si="24"/>
        <v>2006</v>
      </c>
      <c r="K47" s="64">
        <f t="shared" si="24"/>
        <v>0</v>
      </c>
      <c r="L47" s="102">
        <f t="shared" si="0"/>
        <v>-2000</v>
      </c>
      <c r="M47" s="103">
        <f t="shared" si="1"/>
        <v>0</v>
      </c>
      <c r="N47" s="103">
        <v>0</v>
      </c>
      <c r="O47" s="115">
        <v>0</v>
      </c>
      <c r="P47" s="3"/>
      <c r="Q47" s="3"/>
      <c r="R47" s="3"/>
      <c r="S47" s="3"/>
      <c r="T47" s="3"/>
      <c r="U47" s="3"/>
      <c r="V47" s="3"/>
      <c r="W47" s="3"/>
      <c r="X47" s="3"/>
      <c r="Y47" s="3"/>
      <c r="Z47" s="3"/>
      <c r="AA47" s="3"/>
      <c r="AB47" s="3"/>
      <c r="AC47" s="3"/>
      <c r="AD47" s="3"/>
    </row>
    <row r="48" spans="1:30" s="15" customFormat="1" ht="30.75">
      <c r="A48" s="34" t="s">
        <v>133</v>
      </c>
      <c r="B48" s="46" t="s">
        <v>131</v>
      </c>
      <c r="C48" s="30">
        <v>0</v>
      </c>
      <c r="D48" s="30">
        <v>2000</v>
      </c>
      <c r="E48" s="30">
        <v>2001</v>
      </c>
      <c r="F48" s="30">
        <v>2002</v>
      </c>
      <c r="G48" s="30">
        <v>2003</v>
      </c>
      <c r="H48" s="30">
        <v>2004</v>
      </c>
      <c r="I48" s="30">
        <v>2005</v>
      </c>
      <c r="J48" s="30">
        <v>2006</v>
      </c>
      <c r="K48" s="65">
        <v>0</v>
      </c>
      <c r="L48" s="100">
        <f t="shared" si="0"/>
        <v>-2000</v>
      </c>
      <c r="M48" s="101">
        <f t="shared" si="1"/>
        <v>0</v>
      </c>
      <c r="N48" s="101">
        <v>0</v>
      </c>
      <c r="O48" s="116">
        <v>0</v>
      </c>
      <c r="P48" s="5"/>
      <c r="Q48" s="5"/>
      <c r="R48" s="5"/>
      <c r="S48" s="5"/>
      <c r="T48" s="5"/>
      <c r="U48" s="5"/>
      <c r="V48" s="5"/>
      <c r="W48" s="5"/>
      <c r="X48" s="5"/>
      <c r="Y48" s="5"/>
      <c r="Z48" s="5"/>
      <c r="AA48" s="5"/>
      <c r="AB48" s="5"/>
      <c r="AC48" s="5"/>
      <c r="AD48" s="5"/>
    </row>
    <row r="49" spans="1:30" s="1" customFormat="1" ht="15">
      <c r="A49" s="36" t="s">
        <v>139</v>
      </c>
      <c r="B49" s="45" t="s">
        <v>137</v>
      </c>
      <c r="C49" s="29">
        <f>C50</f>
        <v>0</v>
      </c>
      <c r="D49" s="29">
        <f>D50</f>
        <v>1000</v>
      </c>
      <c r="E49" s="29">
        <f aca="true" t="shared" si="25" ref="E49:K49">E50</f>
        <v>1001</v>
      </c>
      <c r="F49" s="29">
        <f t="shared" si="25"/>
        <v>1002</v>
      </c>
      <c r="G49" s="29">
        <f t="shared" si="25"/>
        <v>1003</v>
      </c>
      <c r="H49" s="29">
        <f t="shared" si="25"/>
        <v>1004</v>
      </c>
      <c r="I49" s="29">
        <f t="shared" si="25"/>
        <v>1005</v>
      </c>
      <c r="J49" s="29">
        <f t="shared" si="25"/>
        <v>1006</v>
      </c>
      <c r="K49" s="64">
        <f t="shared" si="25"/>
        <v>0</v>
      </c>
      <c r="L49" s="102">
        <f t="shared" si="0"/>
        <v>-1000</v>
      </c>
      <c r="M49" s="103">
        <f t="shared" si="1"/>
        <v>0</v>
      </c>
      <c r="N49" s="103">
        <v>0</v>
      </c>
      <c r="O49" s="115">
        <v>0</v>
      </c>
      <c r="P49" s="3"/>
      <c r="Q49" s="3"/>
      <c r="R49" s="3"/>
      <c r="S49" s="3"/>
      <c r="T49" s="3"/>
      <c r="U49" s="3"/>
      <c r="V49" s="3"/>
      <c r="W49" s="3"/>
      <c r="X49" s="3"/>
      <c r="Y49" s="3"/>
      <c r="Z49" s="3"/>
      <c r="AA49" s="3"/>
      <c r="AB49" s="3"/>
      <c r="AC49" s="3"/>
      <c r="AD49" s="3"/>
    </row>
    <row r="50" spans="1:30" s="15" customFormat="1" ht="30.75">
      <c r="A50" s="34" t="s">
        <v>138</v>
      </c>
      <c r="B50" s="46" t="s">
        <v>136</v>
      </c>
      <c r="C50" s="30">
        <v>0</v>
      </c>
      <c r="D50" s="30">
        <v>1000</v>
      </c>
      <c r="E50" s="30">
        <v>1001</v>
      </c>
      <c r="F50" s="30">
        <v>1002</v>
      </c>
      <c r="G50" s="30">
        <v>1003</v>
      </c>
      <c r="H50" s="30">
        <v>1004</v>
      </c>
      <c r="I50" s="30">
        <v>1005</v>
      </c>
      <c r="J50" s="30">
        <v>1006</v>
      </c>
      <c r="K50" s="65">
        <v>0</v>
      </c>
      <c r="L50" s="100">
        <f t="shared" si="0"/>
        <v>-1000</v>
      </c>
      <c r="M50" s="101">
        <f t="shared" si="1"/>
        <v>0</v>
      </c>
      <c r="N50" s="101">
        <v>0</v>
      </c>
      <c r="O50" s="116">
        <v>0</v>
      </c>
      <c r="P50" s="5"/>
      <c r="Q50" s="5"/>
      <c r="R50" s="5"/>
      <c r="S50" s="5"/>
      <c r="T50" s="5"/>
      <c r="U50" s="5"/>
      <c r="V50" s="5"/>
      <c r="W50" s="5"/>
      <c r="X50" s="5"/>
      <c r="Y50" s="5"/>
      <c r="Z50" s="5"/>
      <c r="AA50" s="5"/>
      <c r="AB50" s="5"/>
      <c r="AC50" s="5"/>
      <c r="AD50" s="5"/>
    </row>
    <row r="51" spans="1:30" s="1" customFormat="1" ht="15">
      <c r="A51" s="31" t="s">
        <v>42</v>
      </c>
      <c r="B51" s="45" t="s">
        <v>55</v>
      </c>
      <c r="C51" s="29">
        <f>C52</f>
        <v>174192.19</v>
      </c>
      <c r="D51" s="29">
        <f>D52</f>
        <v>122000</v>
      </c>
      <c r="E51" s="29">
        <f aca="true" t="shared" si="26" ref="E51:K52">E52</f>
        <v>122000</v>
      </c>
      <c r="F51" s="29">
        <f t="shared" si="26"/>
        <v>122000</v>
      </c>
      <c r="G51" s="29">
        <f t="shared" si="26"/>
        <v>122000</v>
      </c>
      <c r="H51" s="29">
        <f t="shared" si="26"/>
        <v>122000</v>
      </c>
      <c r="I51" s="29">
        <f t="shared" si="26"/>
        <v>122000</v>
      </c>
      <c r="J51" s="29">
        <f t="shared" si="26"/>
        <v>122000</v>
      </c>
      <c r="K51" s="64">
        <f t="shared" si="26"/>
        <v>85000</v>
      </c>
      <c r="L51" s="102">
        <f t="shared" si="0"/>
        <v>-37000</v>
      </c>
      <c r="M51" s="103">
        <f t="shared" si="1"/>
        <v>0.6967213114754098</v>
      </c>
      <c r="N51" s="103">
        <f t="shared" si="5"/>
        <v>0.48796676820011275</v>
      </c>
      <c r="O51" s="115">
        <f t="shared" si="6"/>
        <v>0.7003758320048677</v>
      </c>
      <c r="P51" s="3"/>
      <c r="Q51" s="3"/>
      <c r="R51" s="3"/>
      <c r="S51" s="3"/>
      <c r="T51" s="3"/>
      <c r="U51" s="3"/>
      <c r="V51" s="3"/>
      <c r="W51" s="3"/>
      <c r="X51" s="3"/>
      <c r="Y51" s="3"/>
      <c r="Z51" s="3"/>
      <c r="AA51" s="3"/>
      <c r="AB51" s="3"/>
      <c r="AC51" s="3"/>
      <c r="AD51" s="3"/>
    </row>
    <row r="52" spans="1:30" s="1" customFormat="1" ht="30.75">
      <c r="A52" s="31" t="s">
        <v>193</v>
      </c>
      <c r="B52" s="45" t="s">
        <v>43</v>
      </c>
      <c r="C52" s="29">
        <f>C53</f>
        <v>174192.19</v>
      </c>
      <c r="D52" s="29">
        <f>D53</f>
        <v>122000</v>
      </c>
      <c r="E52" s="29">
        <f t="shared" si="26"/>
        <v>122000</v>
      </c>
      <c r="F52" s="29">
        <f t="shared" si="26"/>
        <v>122000</v>
      </c>
      <c r="G52" s="29">
        <f t="shared" si="26"/>
        <v>122000</v>
      </c>
      <c r="H52" s="29">
        <f t="shared" si="26"/>
        <v>122000</v>
      </c>
      <c r="I52" s="29">
        <f t="shared" si="26"/>
        <v>122000</v>
      </c>
      <c r="J52" s="29">
        <f t="shared" si="26"/>
        <v>122000</v>
      </c>
      <c r="K52" s="64">
        <f t="shared" si="26"/>
        <v>85000</v>
      </c>
      <c r="L52" s="102">
        <f t="shared" si="0"/>
        <v>-37000</v>
      </c>
      <c r="M52" s="103">
        <f t="shared" si="1"/>
        <v>0.6967213114754098</v>
      </c>
      <c r="N52" s="103">
        <f t="shared" si="5"/>
        <v>0.48796676820011275</v>
      </c>
      <c r="O52" s="115">
        <f t="shared" si="6"/>
        <v>0.7003758320048677</v>
      </c>
      <c r="P52" s="3"/>
      <c r="Q52" s="3"/>
      <c r="R52" s="3"/>
      <c r="S52" s="3"/>
      <c r="T52" s="3"/>
      <c r="U52" s="3"/>
      <c r="V52" s="3"/>
      <c r="W52" s="3"/>
      <c r="X52" s="3"/>
      <c r="Y52" s="3"/>
      <c r="Z52" s="3"/>
      <c r="AA52" s="3"/>
      <c r="AB52" s="3"/>
      <c r="AC52" s="3"/>
      <c r="AD52" s="3"/>
    </row>
    <row r="53" spans="1:30" s="1" customFormat="1" ht="46.5">
      <c r="A53" s="28" t="s">
        <v>44</v>
      </c>
      <c r="B53" s="46" t="s">
        <v>2</v>
      </c>
      <c r="C53" s="79">
        <v>174192.19</v>
      </c>
      <c r="D53" s="30">
        <f>156000-26000-8000</f>
        <v>122000</v>
      </c>
      <c r="E53" s="30">
        <f aca="true" t="shared" si="27" ref="E53:J53">156000-26000-8000</f>
        <v>122000</v>
      </c>
      <c r="F53" s="30">
        <f t="shared" si="27"/>
        <v>122000</v>
      </c>
      <c r="G53" s="30">
        <f t="shared" si="27"/>
        <v>122000</v>
      </c>
      <c r="H53" s="30">
        <f t="shared" si="27"/>
        <v>122000</v>
      </c>
      <c r="I53" s="30">
        <f t="shared" si="27"/>
        <v>122000</v>
      </c>
      <c r="J53" s="30">
        <f t="shared" si="27"/>
        <v>122000</v>
      </c>
      <c r="K53" s="65">
        <v>85000</v>
      </c>
      <c r="L53" s="100">
        <f t="shared" si="0"/>
        <v>-37000</v>
      </c>
      <c r="M53" s="101">
        <f t="shared" si="1"/>
        <v>0.6967213114754098</v>
      </c>
      <c r="N53" s="101">
        <f t="shared" si="5"/>
        <v>0.48796676820011275</v>
      </c>
      <c r="O53" s="116">
        <f t="shared" si="6"/>
        <v>0.7003758320048677</v>
      </c>
      <c r="P53" s="3"/>
      <c r="Q53" s="3"/>
      <c r="R53" s="3"/>
      <c r="S53" s="3"/>
      <c r="T53" s="3"/>
      <c r="U53" s="3"/>
      <c r="V53" s="3"/>
      <c r="W53" s="3"/>
      <c r="X53" s="3"/>
      <c r="Y53" s="3"/>
      <c r="Z53" s="3"/>
      <c r="AA53" s="3"/>
      <c r="AB53" s="3"/>
      <c r="AC53" s="3"/>
      <c r="AD53" s="3"/>
    </row>
    <row r="54" spans="1:30" s="1" customFormat="1" ht="15">
      <c r="A54" s="31" t="s">
        <v>66</v>
      </c>
      <c r="B54" s="45"/>
      <c r="C54" s="29">
        <f>C55+C72+C85+C63+C68</f>
        <v>4894207.01</v>
      </c>
      <c r="D54" s="29">
        <f>D55+D72+D85+D63+D68</f>
        <v>3532460</v>
      </c>
      <c r="E54" s="29">
        <f aca="true" t="shared" si="28" ref="E54:K54">E55+E72+E85+E63+E68</f>
        <v>3532467</v>
      </c>
      <c r="F54" s="29">
        <f t="shared" si="28"/>
        <v>3532474</v>
      </c>
      <c r="G54" s="29">
        <f t="shared" si="28"/>
        <v>3532481</v>
      </c>
      <c r="H54" s="29">
        <f t="shared" si="28"/>
        <v>3532488</v>
      </c>
      <c r="I54" s="29">
        <f t="shared" si="28"/>
        <v>3532495</v>
      </c>
      <c r="J54" s="29">
        <f t="shared" si="28"/>
        <v>3532502</v>
      </c>
      <c r="K54" s="64">
        <f t="shared" si="28"/>
        <v>3790800</v>
      </c>
      <c r="L54" s="102">
        <f t="shared" si="0"/>
        <v>258340</v>
      </c>
      <c r="M54" s="103">
        <f t="shared" si="1"/>
        <v>1.0731331706516138</v>
      </c>
      <c r="N54" s="103">
        <f t="shared" si="5"/>
        <v>0.7745483573241828</v>
      </c>
      <c r="O54" s="115">
        <f t="shared" si="6"/>
        <v>0.7217635038285805</v>
      </c>
      <c r="P54" s="3"/>
      <c r="Q54" s="3"/>
      <c r="R54" s="3"/>
      <c r="S54" s="3"/>
      <c r="T54" s="3"/>
      <c r="U54" s="3"/>
      <c r="V54" s="3"/>
      <c r="W54" s="3"/>
      <c r="X54" s="3"/>
      <c r="Y54" s="3"/>
      <c r="Z54" s="3"/>
      <c r="AA54" s="3"/>
      <c r="AB54" s="3"/>
      <c r="AC54" s="3"/>
      <c r="AD54" s="3"/>
    </row>
    <row r="55" spans="1:30" s="1" customFormat="1" ht="46.5">
      <c r="A55" s="31" t="s">
        <v>57</v>
      </c>
      <c r="B55" s="45" t="s">
        <v>56</v>
      </c>
      <c r="C55" s="29">
        <f>C56+C60</f>
        <v>4141915.9599999995</v>
      </c>
      <c r="D55" s="29">
        <f>D56+D60</f>
        <v>2544000</v>
      </c>
      <c r="E55" s="29">
        <f aca="true" t="shared" si="29" ref="E55:K55">E56+E60</f>
        <v>2544002</v>
      </c>
      <c r="F55" s="29">
        <f t="shared" si="29"/>
        <v>2544004</v>
      </c>
      <c r="G55" s="29">
        <f t="shared" si="29"/>
        <v>2544006</v>
      </c>
      <c r="H55" s="29">
        <f t="shared" si="29"/>
        <v>2544008</v>
      </c>
      <c r="I55" s="29">
        <f t="shared" si="29"/>
        <v>2544010</v>
      </c>
      <c r="J55" s="29">
        <f t="shared" si="29"/>
        <v>2544012</v>
      </c>
      <c r="K55" s="64">
        <f t="shared" si="29"/>
        <v>3712800</v>
      </c>
      <c r="L55" s="102">
        <f t="shared" si="0"/>
        <v>1168800</v>
      </c>
      <c r="M55" s="103">
        <f t="shared" si="1"/>
        <v>1.459433962264151</v>
      </c>
      <c r="N55" s="103">
        <f t="shared" si="5"/>
        <v>0.8963967487162633</v>
      </c>
      <c r="O55" s="115">
        <f t="shared" si="6"/>
        <v>0.6142085026756555</v>
      </c>
      <c r="P55" s="3"/>
      <c r="Q55" s="3"/>
      <c r="R55" s="3"/>
      <c r="S55" s="3"/>
      <c r="T55" s="3"/>
      <c r="U55" s="3"/>
      <c r="V55" s="3"/>
      <c r="W55" s="3"/>
      <c r="X55" s="3"/>
      <c r="Y55" s="3"/>
      <c r="Z55" s="3"/>
      <c r="AA55" s="3"/>
      <c r="AB55" s="3"/>
      <c r="AC55" s="3"/>
      <c r="AD55" s="3"/>
    </row>
    <row r="56" spans="1:15" ht="93">
      <c r="A56" s="28" t="s">
        <v>192</v>
      </c>
      <c r="B56" s="45" t="s">
        <v>72</v>
      </c>
      <c r="C56" s="29">
        <f>C59+C58+C57</f>
        <v>4004436.6799999997</v>
      </c>
      <c r="D56" s="29">
        <f>D59+D58+D57</f>
        <v>2404000</v>
      </c>
      <c r="E56" s="29">
        <f aca="true" t="shared" si="30" ref="E56:K56">E59+E58+E57</f>
        <v>2404001</v>
      </c>
      <c r="F56" s="29">
        <f t="shared" si="30"/>
        <v>2404002</v>
      </c>
      <c r="G56" s="29">
        <f t="shared" si="30"/>
        <v>2404003</v>
      </c>
      <c r="H56" s="29">
        <f t="shared" si="30"/>
        <v>2404004</v>
      </c>
      <c r="I56" s="29">
        <f t="shared" si="30"/>
        <v>2404005</v>
      </c>
      <c r="J56" s="29">
        <f t="shared" si="30"/>
        <v>2404006</v>
      </c>
      <c r="K56" s="64">
        <f t="shared" si="30"/>
        <v>3586800</v>
      </c>
      <c r="L56" s="100">
        <f t="shared" si="0"/>
        <v>1182800</v>
      </c>
      <c r="M56" s="101">
        <f t="shared" si="1"/>
        <v>1.4920133111480864</v>
      </c>
      <c r="N56" s="101">
        <f t="shared" si="5"/>
        <v>0.8957065092111783</v>
      </c>
      <c r="O56" s="116">
        <f t="shared" si="6"/>
        <v>0.6003341273959163</v>
      </c>
    </row>
    <row r="57" spans="1:30" s="1" customFormat="1" ht="78">
      <c r="A57" s="28" t="s">
        <v>70</v>
      </c>
      <c r="B57" s="46" t="s">
        <v>69</v>
      </c>
      <c r="C57" s="79">
        <v>282964.22</v>
      </c>
      <c r="D57" s="30">
        <f>17000+7000</f>
        <v>24000</v>
      </c>
      <c r="E57" s="30">
        <f aca="true" t="shared" si="31" ref="E57:J57">17000+7000</f>
        <v>24000</v>
      </c>
      <c r="F57" s="30">
        <f t="shared" si="31"/>
        <v>24000</v>
      </c>
      <c r="G57" s="30">
        <f t="shared" si="31"/>
        <v>24000</v>
      </c>
      <c r="H57" s="30">
        <f t="shared" si="31"/>
        <v>24000</v>
      </c>
      <c r="I57" s="30">
        <f t="shared" si="31"/>
        <v>24000</v>
      </c>
      <c r="J57" s="30">
        <f t="shared" si="31"/>
        <v>24000</v>
      </c>
      <c r="K57" s="65">
        <v>36800</v>
      </c>
      <c r="L57" s="100">
        <f t="shared" si="0"/>
        <v>12800</v>
      </c>
      <c r="M57" s="101">
        <f t="shared" si="1"/>
        <v>1.5333333333333334</v>
      </c>
      <c r="N57" s="101">
        <f t="shared" si="5"/>
        <v>0.13005177827783315</v>
      </c>
      <c r="O57" s="116">
        <f t="shared" si="6"/>
        <v>0.08481637713771728</v>
      </c>
      <c r="P57" s="3"/>
      <c r="Q57" s="3"/>
      <c r="R57" s="3"/>
      <c r="S57" s="3"/>
      <c r="T57" s="3"/>
      <c r="U57" s="3"/>
      <c r="V57" s="3"/>
      <c r="W57" s="3"/>
      <c r="X57" s="3"/>
      <c r="Y57" s="3"/>
      <c r="Z57" s="3"/>
      <c r="AA57" s="3"/>
      <c r="AB57" s="3"/>
      <c r="AC57" s="3"/>
      <c r="AD57" s="3"/>
    </row>
    <row r="58" spans="1:15" ht="78">
      <c r="A58" s="34" t="s">
        <v>13</v>
      </c>
      <c r="B58" s="46" t="s">
        <v>3</v>
      </c>
      <c r="C58" s="79">
        <v>195770.14</v>
      </c>
      <c r="D58" s="30">
        <f>90000+40000</f>
        <v>130000</v>
      </c>
      <c r="E58" s="30">
        <f aca="true" t="shared" si="32" ref="E58:J58">90000+40000</f>
        <v>130000</v>
      </c>
      <c r="F58" s="30">
        <f t="shared" si="32"/>
        <v>130000</v>
      </c>
      <c r="G58" s="30">
        <f t="shared" si="32"/>
        <v>130000</v>
      </c>
      <c r="H58" s="30">
        <f t="shared" si="32"/>
        <v>130000</v>
      </c>
      <c r="I58" s="30">
        <f t="shared" si="32"/>
        <v>130000</v>
      </c>
      <c r="J58" s="30">
        <f t="shared" si="32"/>
        <v>130000</v>
      </c>
      <c r="K58" s="65">
        <v>50000</v>
      </c>
      <c r="L58" s="100">
        <f t="shared" si="0"/>
        <v>-80000</v>
      </c>
      <c r="M58" s="101">
        <f t="shared" si="1"/>
        <v>0.38461538461538464</v>
      </c>
      <c r="N58" s="101">
        <f t="shared" si="5"/>
        <v>0.2554015643039332</v>
      </c>
      <c r="O58" s="116">
        <f t="shared" si="6"/>
        <v>0.6640440671902262</v>
      </c>
    </row>
    <row r="59" spans="1:30" s="1" customFormat="1" ht="63" customHeight="1">
      <c r="A59" s="28" t="s">
        <v>11</v>
      </c>
      <c r="B59" s="46" t="s">
        <v>4</v>
      </c>
      <c r="C59" s="79">
        <v>3525702.32</v>
      </c>
      <c r="D59" s="30">
        <v>2250000</v>
      </c>
      <c r="E59" s="30">
        <v>2250001</v>
      </c>
      <c r="F59" s="30">
        <v>2250002</v>
      </c>
      <c r="G59" s="30">
        <v>2250003</v>
      </c>
      <c r="H59" s="30">
        <v>2250004</v>
      </c>
      <c r="I59" s="30">
        <v>2250005</v>
      </c>
      <c r="J59" s="30">
        <v>2250006</v>
      </c>
      <c r="K59" s="65">
        <v>3500000</v>
      </c>
      <c r="L59" s="100">
        <f t="shared" si="0"/>
        <v>1250000</v>
      </c>
      <c r="M59" s="101">
        <f t="shared" si="1"/>
        <v>1.5555555555555556</v>
      </c>
      <c r="N59" s="101">
        <f t="shared" si="5"/>
        <v>0.992710014156839</v>
      </c>
      <c r="O59" s="116">
        <f t="shared" si="6"/>
        <v>0.6381707233865394</v>
      </c>
      <c r="P59" s="3"/>
      <c r="Q59" s="3"/>
      <c r="R59" s="3"/>
      <c r="S59" s="3"/>
      <c r="T59" s="3"/>
      <c r="U59" s="3"/>
      <c r="V59" s="3"/>
      <c r="W59" s="3"/>
      <c r="X59" s="3"/>
      <c r="Y59" s="3"/>
      <c r="Z59" s="3"/>
      <c r="AA59" s="3"/>
      <c r="AB59" s="3"/>
      <c r="AC59" s="3"/>
      <c r="AD59" s="3"/>
    </row>
    <row r="60" spans="1:30" s="26" customFormat="1" ht="93">
      <c r="A60" s="31" t="s">
        <v>191</v>
      </c>
      <c r="B60" s="45" t="s">
        <v>84</v>
      </c>
      <c r="C60" s="29">
        <f>C61</f>
        <v>137479.28</v>
      </c>
      <c r="D60" s="29">
        <f>D61</f>
        <v>140000</v>
      </c>
      <c r="E60" s="29">
        <f aca="true" t="shared" si="33" ref="E60:K61">E61</f>
        <v>140001</v>
      </c>
      <c r="F60" s="29">
        <f t="shared" si="33"/>
        <v>140002</v>
      </c>
      <c r="G60" s="29">
        <f t="shared" si="33"/>
        <v>140003</v>
      </c>
      <c r="H60" s="29">
        <f t="shared" si="33"/>
        <v>140004</v>
      </c>
      <c r="I60" s="29">
        <f t="shared" si="33"/>
        <v>140005</v>
      </c>
      <c r="J60" s="29">
        <f t="shared" si="33"/>
        <v>140006</v>
      </c>
      <c r="K60" s="64">
        <f t="shared" si="33"/>
        <v>126000</v>
      </c>
      <c r="L60" s="102">
        <f t="shared" si="0"/>
        <v>-14000</v>
      </c>
      <c r="M60" s="103">
        <f t="shared" si="1"/>
        <v>0.9</v>
      </c>
      <c r="N60" s="103">
        <f t="shared" si="5"/>
        <v>0.9165017448447504</v>
      </c>
      <c r="O60" s="115">
        <f t="shared" si="6"/>
        <v>1.0183352720497227</v>
      </c>
      <c r="P60" s="25"/>
      <c r="Q60" s="25"/>
      <c r="R60" s="25"/>
      <c r="S60" s="25"/>
      <c r="T60" s="25"/>
      <c r="U60" s="25"/>
      <c r="V60" s="25"/>
      <c r="W60" s="25"/>
      <c r="X60" s="25"/>
      <c r="Y60" s="25"/>
      <c r="Z60" s="25"/>
      <c r="AA60" s="25"/>
      <c r="AB60" s="25"/>
      <c r="AC60" s="25"/>
      <c r="AD60" s="25"/>
    </row>
    <row r="61" spans="1:30" s="26" customFormat="1" ht="93">
      <c r="A61" s="31" t="s">
        <v>85</v>
      </c>
      <c r="B61" s="45" t="s">
        <v>86</v>
      </c>
      <c r="C61" s="29">
        <f>C62</f>
        <v>137479.28</v>
      </c>
      <c r="D61" s="29">
        <f>D62</f>
        <v>140000</v>
      </c>
      <c r="E61" s="29">
        <f t="shared" si="33"/>
        <v>140001</v>
      </c>
      <c r="F61" s="29">
        <f t="shared" si="33"/>
        <v>140002</v>
      </c>
      <c r="G61" s="29">
        <f t="shared" si="33"/>
        <v>140003</v>
      </c>
      <c r="H61" s="29">
        <f t="shared" si="33"/>
        <v>140004</v>
      </c>
      <c r="I61" s="29">
        <f t="shared" si="33"/>
        <v>140005</v>
      </c>
      <c r="J61" s="29">
        <f t="shared" si="33"/>
        <v>140006</v>
      </c>
      <c r="K61" s="64">
        <f t="shared" si="33"/>
        <v>126000</v>
      </c>
      <c r="L61" s="102">
        <f t="shared" si="0"/>
        <v>-14000</v>
      </c>
      <c r="M61" s="103">
        <f t="shared" si="1"/>
        <v>0.9</v>
      </c>
      <c r="N61" s="103">
        <f t="shared" si="5"/>
        <v>0.9165017448447504</v>
      </c>
      <c r="O61" s="115">
        <f t="shared" si="6"/>
        <v>1.0183352720497227</v>
      </c>
      <c r="P61" s="25"/>
      <c r="Q61" s="25"/>
      <c r="R61" s="25"/>
      <c r="S61" s="25"/>
      <c r="T61" s="25"/>
      <c r="U61" s="25"/>
      <c r="V61" s="25"/>
      <c r="W61" s="25"/>
      <c r="X61" s="25"/>
      <c r="Y61" s="25"/>
      <c r="Z61" s="25"/>
      <c r="AA61" s="25"/>
      <c r="AB61" s="25"/>
      <c r="AC61" s="25"/>
      <c r="AD61" s="25"/>
    </row>
    <row r="62" spans="1:30" s="26" customFormat="1" ht="78">
      <c r="A62" s="28" t="s">
        <v>190</v>
      </c>
      <c r="B62" s="46" t="s">
        <v>87</v>
      </c>
      <c r="C62" s="79">
        <v>137479.28</v>
      </c>
      <c r="D62" s="30">
        <v>140000</v>
      </c>
      <c r="E62" s="30">
        <v>140001</v>
      </c>
      <c r="F62" s="30">
        <v>140002</v>
      </c>
      <c r="G62" s="30">
        <v>140003</v>
      </c>
      <c r="H62" s="30">
        <v>140004</v>
      </c>
      <c r="I62" s="30">
        <v>140005</v>
      </c>
      <c r="J62" s="30">
        <v>140006</v>
      </c>
      <c r="K62" s="65">
        <v>126000</v>
      </c>
      <c r="L62" s="100">
        <f t="shared" si="0"/>
        <v>-14000</v>
      </c>
      <c r="M62" s="101">
        <f t="shared" si="1"/>
        <v>0.9</v>
      </c>
      <c r="N62" s="101">
        <f t="shared" si="5"/>
        <v>0.9165017448447504</v>
      </c>
      <c r="O62" s="116">
        <f t="shared" si="6"/>
        <v>1.0183352720497227</v>
      </c>
      <c r="P62" s="25"/>
      <c r="Q62" s="25"/>
      <c r="R62" s="25"/>
      <c r="S62" s="25"/>
      <c r="T62" s="25"/>
      <c r="U62" s="25"/>
      <c r="V62" s="25"/>
      <c r="W62" s="25"/>
      <c r="X62" s="25"/>
      <c r="Y62" s="25"/>
      <c r="Z62" s="25"/>
      <c r="AA62" s="25"/>
      <c r="AB62" s="25"/>
      <c r="AC62" s="25"/>
      <c r="AD62" s="25"/>
    </row>
    <row r="63" spans="1:30" s="1" customFormat="1" ht="35.25" customHeight="1">
      <c r="A63" s="31" t="s">
        <v>59</v>
      </c>
      <c r="B63" s="45" t="s">
        <v>58</v>
      </c>
      <c r="C63" s="29">
        <f>C64+C66+C67+C65</f>
        <v>25577.13</v>
      </c>
      <c r="D63" s="29">
        <f>D64+D66+D67</f>
        <v>242500</v>
      </c>
      <c r="E63" s="29">
        <f aca="true" t="shared" si="34" ref="E63:K63">E64+E66+E67</f>
        <v>242501</v>
      </c>
      <c r="F63" s="29">
        <f t="shared" si="34"/>
        <v>242502</v>
      </c>
      <c r="G63" s="29">
        <f t="shared" si="34"/>
        <v>242503</v>
      </c>
      <c r="H63" s="29">
        <f t="shared" si="34"/>
        <v>242504</v>
      </c>
      <c r="I63" s="29">
        <f t="shared" si="34"/>
        <v>242505</v>
      </c>
      <c r="J63" s="29">
        <f t="shared" si="34"/>
        <v>242506</v>
      </c>
      <c r="K63" s="64">
        <f t="shared" si="34"/>
        <v>55000</v>
      </c>
      <c r="L63" s="102">
        <f t="shared" si="0"/>
        <v>-187500</v>
      </c>
      <c r="M63" s="103">
        <f t="shared" si="1"/>
        <v>0.2268041237113402</v>
      </c>
      <c r="N63" s="101">
        <f t="shared" si="5"/>
        <v>2.1503585429639682</v>
      </c>
      <c r="O63" s="116">
        <f t="shared" si="6"/>
        <v>9.481126303068406</v>
      </c>
      <c r="P63" s="3"/>
      <c r="Q63" s="3"/>
      <c r="R63" s="3"/>
      <c r="S63" s="3"/>
      <c r="T63" s="3"/>
      <c r="U63" s="3"/>
      <c r="V63" s="3"/>
      <c r="W63" s="3"/>
      <c r="X63" s="3"/>
      <c r="Y63" s="3"/>
      <c r="Z63" s="3"/>
      <c r="AA63" s="3"/>
      <c r="AB63" s="3"/>
      <c r="AC63" s="3"/>
      <c r="AD63" s="3"/>
    </row>
    <row r="64" spans="1:30" s="1" customFormat="1" ht="30.75">
      <c r="A64" s="28" t="s">
        <v>207</v>
      </c>
      <c r="B64" s="46" t="s">
        <v>208</v>
      </c>
      <c r="C64" s="79">
        <v>4746.67</v>
      </c>
      <c r="D64" s="30">
        <f>11000+9000</f>
        <v>20000</v>
      </c>
      <c r="E64" s="30">
        <f aca="true" t="shared" si="35" ref="E64:J64">11000+9000</f>
        <v>20000</v>
      </c>
      <c r="F64" s="30">
        <f t="shared" si="35"/>
        <v>20000</v>
      </c>
      <c r="G64" s="30">
        <f t="shared" si="35"/>
        <v>20000</v>
      </c>
      <c r="H64" s="30">
        <f t="shared" si="35"/>
        <v>20000</v>
      </c>
      <c r="I64" s="30">
        <f t="shared" si="35"/>
        <v>20000</v>
      </c>
      <c r="J64" s="30">
        <f t="shared" si="35"/>
        <v>20000</v>
      </c>
      <c r="K64" s="65">
        <v>4000</v>
      </c>
      <c r="L64" s="100">
        <f t="shared" si="0"/>
        <v>-16000</v>
      </c>
      <c r="M64" s="101">
        <f t="shared" si="1"/>
        <v>0.2</v>
      </c>
      <c r="N64" s="101">
        <f t="shared" si="5"/>
        <v>0.8426960374325579</v>
      </c>
      <c r="O64" s="116">
        <f t="shared" si="6"/>
        <v>4.21348018716279</v>
      </c>
      <c r="P64" s="3"/>
      <c r="Q64" s="3"/>
      <c r="R64" s="3"/>
      <c r="S64" s="3"/>
      <c r="T64" s="3"/>
      <c r="U64" s="3"/>
      <c r="V64" s="3"/>
      <c r="W64" s="3"/>
      <c r="X64" s="3"/>
      <c r="Y64" s="3"/>
      <c r="Z64" s="3"/>
      <c r="AA64" s="3"/>
      <c r="AB64" s="3"/>
      <c r="AC64" s="3"/>
      <c r="AD64" s="3"/>
    </row>
    <row r="65" spans="1:30" s="1" customFormat="1" ht="30.75">
      <c r="A65" s="28" t="s">
        <v>227</v>
      </c>
      <c r="B65" s="46" t="s">
        <v>226</v>
      </c>
      <c r="C65" s="79">
        <v>10433.6</v>
      </c>
      <c r="D65" s="30"/>
      <c r="E65" s="30"/>
      <c r="F65" s="30"/>
      <c r="G65" s="30"/>
      <c r="H65" s="30"/>
      <c r="I65" s="30"/>
      <c r="J65" s="30"/>
      <c r="K65" s="65"/>
      <c r="L65" s="100"/>
      <c r="M65" s="101"/>
      <c r="N65" s="101">
        <f t="shared" si="5"/>
        <v>0</v>
      </c>
      <c r="O65" s="116">
        <f t="shared" si="6"/>
        <v>0</v>
      </c>
      <c r="P65" s="3"/>
      <c r="Q65" s="3"/>
      <c r="R65" s="3"/>
      <c r="S65" s="3"/>
      <c r="T65" s="3"/>
      <c r="U65" s="3"/>
      <c r="V65" s="3"/>
      <c r="W65" s="3"/>
      <c r="X65" s="3"/>
      <c r="Y65" s="3"/>
      <c r="Z65" s="3"/>
      <c r="AA65" s="3"/>
      <c r="AB65" s="3"/>
      <c r="AC65" s="3"/>
      <c r="AD65" s="3"/>
    </row>
    <row r="66" spans="1:30" s="1" customFormat="1" ht="15">
      <c r="A66" s="28" t="s">
        <v>210</v>
      </c>
      <c r="B66" s="46" t="s">
        <v>209</v>
      </c>
      <c r="C66" s="30">
        <v>0</v>
      </c>
      <c r="D66" s="30">
        <v>100500</v>
      </c>
      <c r="E66" s="30">
        <v>100501</v>
      </c>
      <c r="F66" s="30">
        <v>100502</v>
      </c>
      <c r="G66" s="30">
        <v>100503</v>
      </c>
      <c r="H66" s="30">
        <v>100504</v>
      </c>
      <c r="I66" s="30">
        <v>100505</v>
      </c>
      <c r="J66" s="30">
        <v>100506</v>
      </c>
      <c r="K66" s="65">
        <v>16000</v>
      </c>
      <c r="L66" s="100">
        <f t="shared" si="0"/>
        <v>-84500</v>
      </c>
      <c r="M66" s="101">
        <f t="shared" si="1"/>
        <v>0.15920398009950248</v>
      </c>
      <c r="N66" s="101">
        <v>0</v>
      </c>
      <c r="O66" s="116">
        <v>0</v>
      </c>
      <c r="P66" s="3"/>
      <c r="Q66" s="3"/>
      <c r="R66" s="3"/>
      <c r="S66" s="3"/>
      <c r="T66" s="3"/>
      <c r="U66" s="3"/>
      <c r="V66" s="3"/>
      <c r="W66" s="3"/>
      <c r="X66" s="3"/>
      <c r="Y66" s="3"/>
      <c r="Z66" s="3"/>
      <c r="AA66" s="3"/>
      <c r="AB66" s="3"/>
      <c r="AC66" s="3"/>
      <c r="AD66" s="3"/>
    </row>
    <row r="67" spans="1:30" s="1" customFormat="1" ht="15">
      <c r="A67" s="28" t="s">
        <v>211</v>
      </c>
      <c r="B67" s="46" t="s">
        <v>212</v>
      </c>
      <c r="C67" s="79">
        <v>10396.86</v>
      </c>
      <c r="D67" s="30">
        <f>12000+110000</f>
        <v>122000</v>
      </c>
      <c r="E67" s="30">
        <f aca="true" t="shared" si="36" ref="E67:J67">12000+110000</f>
        <v>122000</v>
      </c>
      <c r="F67" s="30">
        <f t="shared" si="36"/>
        <v>122000</v>
      </c>
      <c r="G67" s="30">
        <f t="shared" si="36"/>
        <v>122000</v>
      </c>
      <c r="H67" s="30">
        <f t="shared" si="36"/>
        <v>122000</v>
      </c>
      <c r="I67" s="30">
        <f t="shared" si="36"/>
        <v>122000</v>
      </c>
      <c r="J67" s="30">
        <f t="shared" si="36"/>
        <v>122000</v>
      </c>
      <c r="K67" s="65">
        <v>35000</v>
      </c>
      <c r="L67" s="100">
        <f t="shared" si="0"/>
        <v>-87000</v>
      </c>
      <c r="M67" s="101">
        <f t="shared" si="1"/>
        <v>0.28688524590163933</v>
      </c>
      <c r="N67" s="101">
        <f t="shared" si="5"/>
        <v>3.366401009535571</v>
      </c>
      <c r="O67" s="116">
        <f t="shared" si="6"/>
        <v>11.734312090381133</v>
      </c>
      <c r="P67" s="3"/>
      <c r="Q67" s="3"/>
      <c r="R67" s="3"/>
      <c r="S67" s="3"/>
      <c r="T67" s="3"/>
      <c r="U67" s="3"/>
      <c r="V67" s="3"/>
      <c r="W67" s="3"/>
      <c r="X67" s="3"/>
      <c r="Y67" s="3"/>
      <c r="Z67" s="3"/>
      <c r="AA67" s="3"/>
      <c r="AB67" s="3"/>
      <c r="AC67" s="3"/>
      <c r="AD67" s="3"/>
    </row>
    <row r="68" spans="1:30" s="1" customFormat="1" ht="30.75">
      <c r="A68" s="31" t="s">
        <v>104</v>
      </c>
      <c r="B68" s="45" t="s">
        <v>105</v>
      </c>
      <c r="C68" s="29">
        <f aca="true" t="shared" si="37" ref="C68:D70">C69</f>
        <v>404486.12</v>
      </c>
      <c r="D68" s="29">
        <f t="shared" si="37"/>
        <v>380000</v>
      </c>
      <c r="E68" s="29">
        <f aca="true" t="shared" si="38" ref="E68:K70">E69</f>
        <v>380001</v>
      </c>
      <c r="F68" s="29">
        <f t="shared" si="38"/>
        <v>380002</v>
      </c>
      <c r="G68" s="29">
        <f t="shared" si="38"/>
        <v>380003</v>
      </c>
      <c r="H68" s="29">
        <f t="shared" si="38"/>
        <v>380004</v>
      </c>
      <c r="I68" s="29">
        <f t="shared" si="38"/>
        <v>380005</v>
      </c>
      <c r="J68" s="29">
        <f t="shared" si="38"/>
        <v>380006</v>
      </c>
      <c r="K68" s="77">
        <f t="shared" si="38"/>
        <v>0</v>
      </c>
      <c r="L68" s="102">
        <f t="shared" si="0"/>
        <v>-380000</v>
      </c>
      <c r="M68" s="103">
        <f t="shared" si="1"/>
        <v>0</v>
      </c>
      <c r="N68" s="101">
        <f t="shared" si="5"/>
        <v>0</v>
      </c>
      <c r="O68" s="116">
        <f t="shared" si="6"/>
        <v>0.9394636335110832</v>
      </c>
      <c r="P68" s="3"/>
      <c r="Q68" s="3"/>
      <c r="R68" s="3"/>
      <c r="S68" s="3"/>
      <c r="T68" s="3"/>
      <c r="U68" s="3"/>
      <c r="V68" s="3"/>
      <c r="W68" s="3"/>
      <c r="X68" s="3"/>
      <c r="Y68" s="3"/>
      <c r="Z68" s="3"/>
      <c r="AA68" s="3"/>
      <c r="AB68" s="3"/>
      <c r="AC68" s="3"/>
      <c r="AD68" s="3"/>
    </row>
    <row r="69" spans="1:30" s="1" customFormat="1" ht="15">
      <c r="A69" s="28" t="s">
        <v>110</v>
      </c>
      <c r="B69" s="46" t="s">
        <v>111</v>
      </c>
      <c r="C69" s="30">
        <f t="shared" si="37"/>
        <v>404486.12</v>
      </c>
      <c r="D69" s="30">
        <f t="shared" si="37"/>
        <v>380000</v>
      </c>
      <c r="E69" s="30">
        <f t="shared" si="38"/>
        <v>380001</v>
      </c>
      <c r="F69" s="30">
        <f t="shared" si="38"/>
        <v>380002</v>
      </c>
      <c r="G69" s="30">
        <f t="shared" si="38"/>
        <v>380003</v>
      </c>
      <c r="H69" s="30">
        <f t="shared" si="38"/>
        <v>380004</v>
      </c>
      <c r="I69" s="30">
        <f t="shared" si="38"/>
        <v>380005</v>
      </c>
      <c r="J69" s="30">
        <f t="shared" si="38"/>
        <v>380006</v>
      </c>
      <c r="K69" s="78">
        <f t="shared" si="38"/>
        <v>0</v>
      </c>
      <c r="L69" s="100">
        <f t="shared" si="0"/>
        <v>-380000</v>
      </c>
      <c r="M69" s="101">
        <f t="shared" si="1"/>
        <v>0</v>
      </c>
      <c r="N69" s="101">
        <f t="shared" si="5"/>
        <v>0</v>
      </c>
      <c r="O69" s="116">
        <f t="shared" si="6"/>
        <v>0.9394636335110832</v>
      </c>
      <c r="P69" s="3"/>
      <c r="Q69" s="3"/>
      <c r="R69" s="3"/>
      <c r="S69" s="3"/>
      <c r="T69" s="3"/>
      <c r="U69" s="3"/>
      <c r="V69" s="3"/>
      <c r="W69" s="3"/>
      <c r="X69" s="3"/>
      <c r="Y69" s="3"/>
      <c r="Z69" s="3"/>
      <c r="AA69" s="3"/>
      <c r="AB69" s="3"/>
      <c r="AC69" s="3"/>
      <c r="AD69" s="3"/>
    </row>
    <row r="70" spans="1:30" s="1" customFormat="1" ht="15">
      <c r="A70" s="28" t="s">
        <v>108</v>
      </c>
      <c r="B70" s="46" t="s">
        <v>109</v>
      </c>
      <c r="C70" s="30">
        <f t="shared" si="37"/>
        <v>404486.12</v>
      </c>
      <c r="D70" s="30">
        <f t="shared" si="37"/>
        <v>380000</v>
      </c>
      <c r="E70" s="30">
        <f t="shared" si="38"/>
        <v>380001</v>
      </c>
      <c r="F70" s="30">
        <f t="shared" si="38"/>
        <v>380002</v>
      </c>
      <c r="G70" s="30">
        <f t="shared" si="38"/>
        <v>380003</v>
      </c>
      <c r="H70" s="30">
        <f t="shared" si="38"/>
        <v>380004</v>
      </c>
      <c r="I70" s="30">
        <f t="shared" si="38"/>
        <v>380005</v>
      </c>
      <c r="J70" s="30">
        <f t="shared" si="38"/>
        <v>380006</v>
      </c>
      <c r="K70" s="78">
        <f t="shared" si="38"/>
        <v>0</v>
      </c>
      <c r="L70" s="100">
        <f t="shared" si="0"/>
        <v>-380000</v>
      </c>
      <c r="M70" s="101">
        <f t="shared" si="1"/>
        <v>0</v>
      </c>
      <c r="N70" s="101">
        <f t="shared" si="5"/>
        <v>0</v>
      </c>
      <c r="O70" s="116">
        <f t="shared" si="6"/>
        <v>0.9394636335110832</v>
      </c>
      <c r="P70" s="3"/>
      <c r="Q70" s="3"/>
      <c r="R70" s="3"/>
      <c r="S70" s="3"/>
      <c r="T70" s="3"/>
      <c r="U70" s="3"/>
      <c r="V70" s="3"/>
      <c r="W70" s="3"/>
      <c r="X70" s="3"/>
      <c r="Y70" s="3"/>
      <c r="Z70" s="3"/>
      <c r="AA70" s="3"/>
      <c r="AB70" s="3"/>
      <c r="AC70" s="3"/>
      <c r="AD70" s="3"/>
    </row>
    <row r="71" spans="1:30" s="1" customFormat="1" ht="30.75">
      <c r="A71" s="28" t="s">
        <v>107</v>
      </c>
      <c r="B71" s="46" t="s">
        <v>106</v>
      </c>
      <c r="C71" s="79">
        <v>404486.12</v>
      </c>
      <c r="D71" s="30">
        <v>380000</v>
      </c>
      <c r="E71" s="30">
        <v>380001</v>
      </c>
      <c r="F71" s="30">
        <v>380002</v>
      </c>
      <c r="G71" s="30">
        <v>380003</v>
      </c>
      <c r="H71" s="30">
        <v>380004</v>
      </c>
      <c r="I71" s="30">
        <v>380005</v>
      </c>
      <c r="J71" s="30">
        <v>380006</v>
      </c>
      <c r="K71" s="78">
        <v>0</v>
      </c>
      <c r="L71" s="100">
        <f t="shared" si="0"/>
        <v>-380000</v>
      </c>
      <c r="M71" s="101">
        <f t="shared" si="1"/>
        <v>0</v>
      </c>
      <c r="N71" s="101">
        <f t="shared" si="5"/>
        <v>0</v>
      </c>
      <c r="O71" s="116">
        <f t="shared" si="6"/>
        <v>0.9394636335110832</v>
      </c>
      <c r="P71" s="3"/>
      <c r="Q71" s="3"/>
      <c r="R71" s="3"/>
      <c r="S71" s="3"/>
      <c r="T71" s="3"/>
      <c r="U71" s="3"/>
      <c r="V71" s="3"/>
      <c r="W71" s="3"/>
      <c r="X71" s="3"/>
      <c r="Y71" s="3"/>
      <c r="Z71" s="3"/>
      <c r="AA71" s="3"/>
      <c r="AB71" s="3"/>
      <c r="AC71" s="3"/>
      <c r="AD71" s="3"/>
    </row>
    <row r="72" spans="1:30" s="1" customFormat="1" ht="15">
      <c r="A72" s="33" t="s">
        <v>61</v>
      </c>
      <c r="B72" s="45" t="s">
        <v>60</v>
      </c>
      <c r="C72" s="29">
        <f>C73+C75+C76+C77+C83+C79+C81</f>
        <v>322227.8</v>
      </c>
      <c r="D72" s="29">
        <f>D73+D75+D76+D77+D83+D79+D81</f>
        <v>365960</v>
      </c>
      <c r="E72" s="29">
        <f aca="true" t="shared" si="39" ref="E72:K72">E73+E75+E76+E77+E83+E79+E81</f>
        <v>365962</v>
      </c>
      <c r="F72" s="29">
        <f t="shared" si="39"/>
        <v>365964</v>
      </c>
      <c r="G72" s="29">
        <f t="shared" si="39"/>
        <v>365966</v>
      </c>
      <c r="H72" s="29">
        <f t="shared" si="39"/>
        <v>365968</v>
      </c>
      <c r="I72" s="29">
        <f t="shared" si="39"/>
        <v>365970</v>
      </c>
      <c r="J72" s="29">
        <f t="shared" si="39"/>
        <v>365972</v>
      </c>
      <c r="K72" s="64">
        <f t="shared" si="39"/>
        <v>23000</v>
      </c>
      <c r="L72" s="102">
        <f t="shared" si="0"/>
        <v>-342960</v>
      </c>
      <c r="M72" s="103">
        <f t="shared" si="1"/>
        <v>0.06284839873210187</v>
      </c>
      <c r="N72" s="103">
        <f t="shared" si="5"/>
        <v>0.07137807476574026</v>
      </c>
      <c r="O72" s="115">
        <f t="shared" si="6"/>
        <v>1.1357182713595786</v>
      </c>
      <c r="P72" s="3"/>
      <c r="Q72" s="3"/>
      <c r="R72" s="3"/>
      <c r="S72" s="3"/>
      <c r="T72" s="3"/>
      <c r="U72" s="3"/>
      <c r="V72" s="3"/>
      <c r="W72" s="3"/>
      <c r="X72" s="3"/>
      <c r="Y72" s="3"/>
      <c r="Z72" s="3"/>
      <c r="AA72" s="3"/>
      <c r="AB72" s="3"/>
      <c r="AC72" s="3"/>
      <c r="AD72" s="3"/>
    </row>
    <row r="73" spans="1:30" s="1" customFormat="1" ht="30.75">
      <c r="A73" s="31" t="s">
        <v>113</v>
      </c>
      <c r="B73" s="45" t="s">
        <v>114</v>
      </c>
      <c r="C73" s="29">
        <f>C74</f>
        <v>7149</v>
      </c>
      <c r="D73" s="29">
        <f>D74</f>
        <v>20000</v>
      </c>
      <c r="E73" s="29">
        <f aca="true" t="shared" si="40" ref="E73:K73">E74</f>
        <v>20000</v>
      </c>
      <c r="F73" s="29">
        <f t="shared" si="40"/>
        <v>20000</v>
      </c>
      <c r="G73" s="29">
        <f t="shared" si="40"/>
        <v>20000</v>
      </c>
      <c r="H73" s="29">
        <f t="shared" si="40"/>
        <v>20000</v>
      </c>
      <c r="I73" s="29">
        <f t="shared" si="40"/>
        <v>20000</v>
      </c>
      <c r="J73" s="29">
        <f t="shared" si="40"/>
        <v>20000</v>
      </c>
      <c r="K73" s="64">
        <f t="shared" si="40"/>
        <v>20000</v>
      </c>
      <c r="L73" s="102">
        <f t="shared" si="0"/>
        <v>0</v>
      </c>
      <c r="M73" s="103">
        <f t="shared" si="1"/>
        <v>1</v>
      </c>
      <c r="N73" s="103">
        <f t="shared" si="5"/>
        <v>2.7975940691005734</v>
      </c>
      <c r="O73" s="115">
        <f t="shared" si="6"/>
        <v>2.7975940691005734</v>
      </c>
      <c r="P73" s="3"/>
      <c r="Q73" s="3"/>
      <c r="R73" s="3"/>
      <c r="S73" s="3"/>
      <c r="T73" s="3"/>
      <c r="U73" s="3"/>
      <c r="V73" s="3"/>
      <c r="W73" s="3"/>
      <c r="X73" s="3"/>
      <c r="Y73" s="3"/>
      <c r="Z73" s="3"/>
      <c r="AA73" s="3"/>
      <c r="AB73" s="3"/>
      <c r="AC73" s="3"/>
      <c r="AD73" s="3"/>
    </row>
    <row r="74" spans="1:30" s="1" customFormat="1" ht="78">
      <c r="A74" s="31" t="s">
        <v>115</v>
      </c>
      <c r="B74" s="45" t="s">
        <v>116</v>
      </c>
      <c r="C74" s="32">
        <v>7149</v>
      </c>
      <c r="D74" s="29">
        <f>7000+13000</f>
        <v>20000</v>
      </c>
      <c r="E74" s="29">
        <f aca="true" t="shared" si="41" ref="E74:J74">7000+13000</f>
        <v>20000</v>
      </c>
      <c r="F74" s="29">
        <f t="shared" si="41"/>
        <v>20000</v>
      </c>
      <c r="G74" s="29">
        <f t="shared" si="41"/>
        <v>20000</v>
      </c>
      <c r="H74" s="29">
        <f t="shared" si="41"/>
        <v>20000</v>
      </c>
      <c r="I74" s="29">
        <f t="shared" si="41"/>
        <v>20000</v>
      </c>
      <c r="J74" s="29">
        <f t="shared" si="41"/>
        <v>20000</v>
      </c>
      <c r="K74" s="64">
        <v>20000</v>
      </c>
      <c r="L74" s="102">
        <f t="shared" si="0"/>
        <v>0</v>
      </c>
      <c r="M74" s="103">
        <f t="shared" si="1"/>
        <v>1</v>
      </c>
      <c r="N74" s="103">
        <f t="shared" si="5"/>
        <v>2.7975940691005734</v>
      </c>
      <c r="O74" s="115">
        <f t="shared" si="6"/>
        <v>2.7975940691005734</v>
      </c>
      <c r="P74" s="3"/>
      <c r="Q74" s="3"/>
      <c r="R74" s="3"/>
      <c r="S74" s="3"/>
      <c r="T74" s="3"/>
      <c r="U74" s="3"/>
      <c r="V74" s="3"/>
      <c r="W74" s="3"/>
      <c r="X74" s="3"/>
      <c r="Y74" s="3"/>
      <c r="Z74" s="3"/>
      <c r="AA74" s="3"/>
      <c r="AB74" s="3"/>
      <c r="AC74" s="3"/>
      <c r="AD74" s="3"/>
    </row>
    <row r="75" spans="1:30" s="1" customFormat="1" ht="62.25">
      <c r="A75" s="31" t="s">
        <v>117</v>
      </c>
      <c r="B75" s="45" t="s">
        <v>118</v>
      </c>
      <c r="C75" s="32">
        <v>3000</v>
      </c>
      <c r="D75" s="29">
        <v>3000</v>
      </c>
      <c r="E75" s="29">
        <v>3001</v>
      </c>
      <c r="F75" s="29">
        <v>3002</v>
      </c>
      <c r="G75" s="29">
        <v>3003</v>
      </c>
      <c r="H75" s="29">
        <v>3004</v>
      </c>
      <c r="I75" s="29">
        <v>3005</v>
      </c>
      <c r="J75" s="29">
        <v>3006</v>
      </c>
      <c r="K75" s="64">
        <v>3000</v>
      </c>
      <c r="L75" s="102">
        <f t="shared" si="0"/>
        <v>0</v>
      </c>
      <c r="M75" s="103">
        <f t="shared" si="1"/>
        <v>1</v>
      </c>
      <c r="N75" s="103">
        <f t="shared" si="5"/>
        <v>1</v>
      </c>
      <c r="O75" s="115">
        <f t="shared" si="6"/>
        <v>1</v>
      </c>
      <c r="P75" s="3"/>
      <c r="Q75" s="3"/>
      <c r="R75" s="3"/>
      <c r="S75" s="3"/>
      <c r="T75" s="3"/>
      <c r="U75" s="3"/>
      <c r="V75" s="3"/>
      <c r="W75" s="3"/>
      <c r="X75" s="3"/>
      <c r="Y75" s="3"/>
      <c r="Z75" s="3"/>
      <c r="AA75" s="3"/>
      <c r="AB75" s="3"/>
      <c r="AC75" s="3"/>
      <c r="AD75" s="3"/>
    </row>
    <row r="76" spans="1:30" s="1" customFormat="1" ht="62.25">
      <c r="A76" s="31" t="s">
        <v>119</v>
      </c>
      <c r="B76" s="45" t="s">
        <v>120</v>
      </c>
      <c r="C76" s="32">
        <v>30000</v>
      </c>
      <c r="D76" s="29">
        <f>10000+72000</f>
        <v>82000</v>
      </c>
      <c r="E76" s="29">
        <f aca="true" t="shared" si="42" ref="E76:J76">10000+72000</f>
        <v>82000</v>
      </c>
      <c r="F76" s="29">
        <f t="shared" si="42"/>
        <v>82000</v>
      </c>
      <c r="G76" s="29">
        <f t="shared" si="42"/>
        <v>82000</v>
      </c>
      <c r="H76" s="29">
        <f t="shared" si="42"/>
        <v>82000</v>
      </c>
      <c r="I76" s="29">
        <f t="shared" si="42"/>
        <v>82000</v>
      </c>
      <c r="J76" s="29">
        <f t="shared" si="42"/>
        <v>82000</v>
      </c>
      <c r="K76" s="77">
        <v>0</v>
      </c>
      <c r="L76" s="102">
        <f t="shared" si="0"/>
        <v>-82000</v>
      </c>
      <c r="M76" s="103">
        <f t="shared" si="1"/>
        <v>0</v>
      </c>
      <c r="N76" s="103">
        <f t="shared" si="5"/>
        <v>0</v>
      </c>
      <c r="O76" s="115">
        <f t="shared" si="6"/>
        <v>2.7333333333333334</v>
      </c>
      <c r="P76" s="3"/>
      <c r="Q76" s="3"/>
      <c r="R76" s="3"/>
      <c r="S76" s="3"/>
      <c r="T76" s="3"/>
      <c r="U76" s="3"/>
      <c r="V76" s="3"/>
      <c r="W76" s="3"/>
      <c r="X76" s="3"/>
      <c r="Y76" s="3"/>
      <c r="Z76" s="3"/>
      <c r="AA76" s="3"/>
      <c r="AB76" s="3"/>
      <c r="AC76" s="3"/>
      <c r="AD76" s="3"/>
    </row>
    <row r="77" spans="1:30" s="1" customFormat="1" ht="30.75">
      <c r="A77" s="31" t="s">
        <v>121</v>
      </c>
      <c r="B77" s="45" t="s">
        <v>122</v>
      </c>
      <c r="C77" s="29">
        <f>C78</f>
        <v>43500</v>
      </c>
      <c r="D77" s="29">
        <f>D78</f>
        <v>9000</v>
      </c>
      <c r="E77" s="29">
        <f aca="true" t="shared" si="43" ref="E77:K77">E78</f>
        <v>9001</v>
      </c>
      <c r="F77" s="29">
        <f t="shared" si="43"/>
        <v>9002</v>
      </c>
      <c r="G77" s="29">
        <f t="shared" si="43"/>
        <v>9003</v>
      </c>
      <c r="H77" s="29">
        <f t="shared" si="43"/>
        <v>9004</v>
      </c>
      <c r="I77" s="29">
        <f t="shared" si="43"/>
        <v>9005</v>
      </c>
      <c r="J77" s="29">
        <f t="shared" si="43"/>
        <v>9006</v>
      </c>
      <c r="K77" s="77">
        <f t="shared" si="43"/>
        <v>0</v>
      </c>
      <c r="L77" s="102">
        <f t="shared" si="0"/>
        <v>-9000</v>
      </c>
      <c r="M77" s="103">
        <f t="shared" si="1"/>
        <v>0</v>
      </c>
      <c r="N77" s="103">
        <f t="shared" si="5"/>
        <v>0</v>
      </c>
      <c r="O77" s="115">
        <f t="shared" si="6"/>
        <v>0.20689655172413793</v>
      </c>
      <c r="P77" s="3"/>
      <c r="Q77" s="3"/>
      <c r="R77" s="3"/>
      <c r="S77" s="3"/>
      <c r="T77" s="3"/>
      <c r="U77" s="3"/>
      <c r="V77" s="3"/>
      <c r="W77" s="3"/>
      <c r="X77" s="3"/>
      <c r="Y77" s="3"/>
      <c r="Z77" s="3"/>
      <c r="AA77" s="3"/>
      <c r="AB77" s="3"/>
      <c r="AC77" s="3"/>
      <c r="AD77" s="3"/>
    </row>
    <row r="78" spans="1:30" s="1" customFormat="1" ht="30.75">
      <c r="A78" s="31" t="s">
        <v>123</v>
      </c>
      <c r="B78" s="45" t="s">
        <v>124</v>
      </c>
      <c r="C78" s="32">
        <v>43500</v>
      </c>
      <c r="D78" s="29">
        <v>9000</v>
      </c>
      <c r="E78" s="29">
        <v>9001</v>
      </c>
      <c r="F78" s="29">
        <v>9002</v>
      </c>
      <c r="G78" s="29">
        <v>9003</v>
      </c>
      <c r="H78" s="29">
        <v>9004</v>
      </c>
      <c r="I78" s="29">
        <v>9005</v>
      </c>
      <c r="J78" s="29">
        <v>9006</v>
      </c>
      <c r="K78" s="77">
        <v>0</v>
      </c>
      <c r="L78" s="102">
        <f t="shared" si="0"/>
        <v>-9000</v>
      </c>
      <c r="M78" s="103">
        <f t="shared" si="1"/>
        <v>0</v>
      </c>
      <c r="N78" s="103">
        <f t="shared" si="5"/>
        <v>0</v>
      </c>
      <c r="O78" s="115">
        <f t="shared" si="6"/>
        <v>0.20689655172413793</v>
      </c>
      <c r="P78" s="3"/>
      <c r="Q78" s="3"/>
      <c r="R78" s="3"/>
      <c r="S78" s="3"/>
      <c r="T78" s="3"/>
      <c r="U78" s="3"/>
      <c r="V78" s="3"/>
      <c r="W78" s="3"/>
      <c r="X78" s="3"/>
      <c r="Y78" s="3"/>
      <c r="Z78" s="3"/>
      <c r="AA78" s="3"/>
      <c r="AB78" s="3"/>
      <c r="AC78" s="3"/>
      <c r="AD78" s="3"/>
    </row>
    <row r="79" spans="1:30" s="1" customFormat="1" ht="62.25">
      <c r="A79" s="31" t="s">
        <v>143</v>
      </c>
      <c r="B79" s="45" t="s">
        <v>142</v>
      </c>
      <c r="C79" s="29">
        <f>C80</f>
        <v>3000</v>
      </c>
      <c r="D79" s="29">
        <f>D80</f>
        <v>28000</v>
      </c>
      <c r="E79" s="29">
        <f aca="true" t="shared" si="44" ref="E79:K79">E80</f>
        <v>28000</v>
      </c>
      <c r="F79" s="29">
        <f t="shared" si="44"/>
        <v>28000</v>
      </c>
      <c r="G79" s="29">
        <f t="shared" si="44"/>
        <v>28000</v>
      </c>
      <c r="H79" s="29">
        <f t="shared" si="44"/>
        <v>28000</v>
      </c>
      <c r="I79" s="29">
        <f t="shared" si="44"/>
        <v>28000</v>
      </c>
      <c r="J79" s="29">
        <f t="shared" si="44"/>
        <v>28000</v>
      </c>
      <c r="K79" s="77">
        <f t="shared" si="44"/>
        <v>0</v>
      </c>
      <c r="L79" s="102">
        <f t="shared" si="0"/>
        <v>-28000</v>
      </c>
      <c r="M79" s="103">
        <f t="shared" si="1"/>
        <v>0</v>
      </c>
      <c r="N79" s="103">
        <f t="shared" si="5"/>
        <v>0</v>
      </c>
      <c r="O79" s="115">
        <f t="shared" si="6"/>
        <v>9.333333333333334</v>
      </c>
      <c r="P79" s="3"/>
      <c r="Q79" s="3"/>
      <c r="R79" s="3"/>
      <c r="S79" s="3"/>
      <c r="T79" s="3"/>
      <c r="U79" s="3"/>
      <c r="V79" s="3"/>
      <c r="W79" s="3"/>
      <c r="X79" s="3"/>
      <c r="Y79" s="3"/>
      <c r="Z79" s="3"/>
      <c r="AA79" s="3"/>
      <c r="AB79" s="3"/>
      <c r="AC79" s="3"/>
      <c r="AD79" s="3"/>
    </row>
    <row r="80" spans="1:30" s="1" customFormat="1" ht="78">
      <c r="A80" s="31" t="s">
        <v>140</v>
      </c>
      <c r="B80" s="45" t="s">
        <v>141</v>
      </c>
      <c r="C80" s="32">
        <v>3000</v>
      </c>
      <c r="D80" s="29">
        <f>20000+8000</f>
        <v>28000</v>
      </c>
      <c r="E80" s="29">
        <f aca="true" t="shared" si="45" ref="E80:J80">20000+8000</f>
        <v>28000</v>
      </c>
      <c r="F80" s="29">
        <f t="shared" si="45"/>
        <v>28000</v>
      </c>
      <c r="G80" s="29">
        <f t="shared" si="45"/>
        <v>28000</v>
      </c>
      <c r="H80" s="29">
        <f t="shared" si="45"/>
        <v>28000</v>
      </c>
      <c r="I80" s="29">
        <f t="shared" si="45"/>
        <v>28000</v>
      </c>
      <c r="J80" s="29">
        <f t="shared" si="45"/>
        <v>28000</v>
      </c>
      <c r="K80" s="77">
        <v>0</v>
      </c>
      <c r="L80" s="102">
        <f t="shared" si="0"/>
        <v>-28000</v>
      </c>
      <c r="M80" s="103">
        <f t="shared" si="1"/>
        <v>0</v>
      </c>
      <c r="N80" s="103">
        <f t="shared" si="5"/>
        <v>0</v>
      </c>
      <c r="O80" s="115">
        <f t="shared" si="6"/>
        <v>9.333333333333334</v>
      </c>
      <c r="P80" s="3"/>
      <c r="Q80" s="3"/>
      <c r="R80" s="3"/>
      <c r="S80" s="3"/>
      <c r="T80" s="3"/>
      <c r="U80" s="3"/>
      <c r="V80" s="3"/>
      <c r="W80" s="3"/>
      <c r="X80" s="3"/>
      <c r="Y80" s="3"/>
      <c r="Z80" s="3"/>
      <c r="AA80" s="3"/>
      <c r="AB80" s="3"/>
      <c r="AC80" s="3"/>
      <c r="AD80" s="3"/>
    </row>
    <row r="81" spans="1:30" s="1" customFormat="1" ht="30.75">
      <c r="A81" s="31" t="s">
        <v>145</v>
      </c>
      <c r="B81" s="45" t="s">
        <v>188</v>
      </c>
      <c r="C81" s="29">
        <f>C82</f>
        <v>82200</v>
      </c>
      <c r="D81" s="29">
        <f>D82</f>
        <v>32000</v>
      </c>
      <c r="E81" s="29">
        <f aca="true" t="shared" si="46" ref="E81:K81">E82</f>
        <v>32000</v>
      </c>
      <c r="F81" s="29">
        <f t="shared" si="46"/>
        <v>32000</v>
      </c>
      <c r="G81" s="29">
        <f t="shared" si="46"/>
        <v>32000</v>
      </c>
      <c r="H81" s="29">
        <f t="shared" si="46"/>
        <v>32000</v>
      </c>
      <c r="I81" s="29">
        <f t="shared" si="46"/>
        <v>32000</v>
      </c>
      <c r="J81" s="29">
        <f t="shared" si="46"/>
        <v>32000</v>
      </c>
      <c r="K81" s="77">
        <f t="shared" si="46"/>
        <v>0</v>
      </c>
      <c r="L81" s="102">
        <f t="shared" si="0"/>
        <v>-32000</v>
      </c>
      <c r="M81" s="103">
        <f t="shared" si="1"/>
        <v>0</v>
      </c>
      <c r="N81" s="103">
        <f t="shared" si="5"/>
        <v>0</v>
      </c>
      <c r="O81" s="115">
        <f t="shared" si="6"/>
        <v>0.38929440389294406</v>
      </c>
      <c r="P81" s="3"/>
      <c r="Q81" s="3"/>
      <c r="R81" s="3"/>
      <c r="S81" s="3"/>
      <c r="T81" s="3"/>
      <c r="U81" s="3"/>
      <c r="V81" s="3"/>
      <c r="W81" s="3"/>
      <c r="X81" s="3"/>
      <c r="Y81" s="3"/>
      <c r="Z81" s="3"/>
      <c r="AA81" s="3"/>
      <c r="AB81" s="3"/>
      <c r="AC81" s="3"/>
      <c r="AD81" s="3"/>
    </row>
    <row r="82" spans="1:30" s="1" customFormat="1" ht="78">
      <c r="A82" s="31" t="s">
        <v>144</v>
      </c>
      <c r="B82" s="45" t="s">
        <v>189</v>
      </c>
      <c r="C82" s="32">
        <v>82200</v>
      </c>
      <c r="D82" s="29">
        <f>26000+6000</f>
        <v>32000</v>
      </c>
      <c r="E82" s="29">
        <f aca="true" t="shared" si="47" ref="E82:J82">26000+6000</f>
        <v>32000</v>
      </c>
      <c r="F82" s="29">
        <f t="shared" si="47"/>
        <v>32000</v>
      </c>
      <c r="G82" s="29">
        <f t="shared" si="47"/>
        <v>32000</v>
      </c>
      <c r="H82" s="29">
        <f t="shared" si="47"/>
        <v>32000</v>
      </c>
      <c r="I82" s="29">
        <f t="shared" si="47"/>
        <v>32000</v>
      </c>
      <c r="J82" s="29">
        <f t="shared" si="47"/>
        <v>32000</v>
      </c>
      <c r="K82" s="77">
        <v>0</v>
      </c>
      <c r="L82" s="102">
        <f t="shared" si="0"/>
        <v>-32000</v>
      </c>
      <c r="M82" s="103">
        <f t="shared" si="1"/>
        <v>0</v>
      </c>
      <c r="N82" s="103">
        <f t="shared" si="5"/>
        <v>0</v>
      </c>
      <c r="O82" s="115">
        <f t="shared" si="6"/>
        <v>0.38929440389294406</v>
      </c>
      <c r="P82" s="3"/>
      <c r="Q82" s="3"/>
      <c r="R82" s="3"/>
      <c r="S82" s="3"/>
      <c r="T82" s="3"/>
      <c r="U82" s="3"/>
      <c r="V82" s="3"/>
      <c r="W82" s="3"/>
      <c r="X82" s="3"/>
      <c r="Y82" s="3"/>
      <c r="Z82" s="3"/>
      <c r="AA82" s="3"/>
      <c r="AB82" s="3"/>
      <c r="AC82" s="3"/>
      <c r="AD82" s="3"/>
    </row>
    <row r="83" spans="1:30" s="1" customFormat="1" ht="30.75">
      <c r="A83" s="31" t="s">
        <v>8</v>
      </c>
      <c r="B83" s="45" t="s">
        <v>9</v>
      </c>
      <c r="C83" s="29">
        <f>C84</f>
        <v>153378.8</v>
      </c>
      <c r="D83" s="29">
        <f>D84</f>
        <v>191960</v>
      </c>
      <c r="E83" s="29">
        <f aca="true" t="shared" si="48" ref="E83:K83">E84</f>
        <v>191960</v>
      </c>
      <c r="F83" s="29">
        <f t="shared" si="48"/>
        <v>191960</v>
      </c>
      <c r="G83" s="29">
        <f t="shared" si="48"/>
        <v>191960</v>
      </c>
      <c r="H83" s="29">
        <f t="shared" si="48"/>
        <v>191960</v>
      </c>
      <c r="I83" s="29">
        <f t="shared" si="48"/>
        <v>191960</v>
      </c>
      <c r="J83" s="29">
        <f t="shared" si="48"/>
        <v>191960</v>
      </c>
      <c r="K83" s="77">
        <f t="shared" si="48"/>
        <v>0</v>
      </c>
      <c r="L83" s="102">
        <f t="shared" si="0"/>
        <v>-191960</v>
      </c>
      <c r="M83" s="103">
        <f t="shared" si="1"/>
        <v>0</v>
      </c>
      <c r="N83" s="103">
        <f aca="true" t="shared" si="49" ref="N83:N145">K83/C83</f>
        <v>0</v>
      </c>
      <c r="O83" s="115">
        <f aca="true" t="shared" si="50" ref="O83:O145">D83/C83</f>
        <v>1.2515419340873708</v>
      </c>
      <c r="P83" s="3"/>
      <c r="Q83" s="3"/>
      <c r="R83" s="3"/>
      <c r="S83" s="3"/>
      <c r="T83" s="3"/>
      <c r="U83" s="3"/>
      <c r="V83" s="3"/>
      <c r="W83" s="3"/>
      <c r="X83" s="3"/>
      <c r="Y83" s="3"/>
      <c r="Z83" s="3"/>
      <c r="AA83" s="3"/>
      <c r="AB83" s="3"/>
      <c r="AC83" s="3"/>
      <c r="AD83" s="3"/>
    </row>
    <row r="84" spans="1:30" s="1" customFormat="1" ht="46.5">
      <c r="A84" s="31" t="s">
        <v>5</v>
      </c>
      <c r="B84" s="45" t="s">
        <v>6</v>
      </c>
      <c r="C84" s="32">
        <v>153378.8</v>
      </c>
      <c r="D84" s="29">
        <f>156960+35000</f>
        <v>191960</v>
      </c>
      <c r="E84" s="29">
        <f aca="true" t="shared" si="51" ref="E84:J84">156960+35000</f>
        <v>191960</v>
      </c>
      <c r="F84" s="29">
        <f t="shared" si="51"/>
        <v>191960</v>
      </c>
      <c r="G84" s="29">
        <f t="shared" si="51"/>
        <v>191960</v>
      </c>
      <c r="H84" s="29">
        <f t="shared" si="51"/>
        <v>191960</v>
      </c>
      <c r="I84" s="29">
        <f t="shared" si="51"/>
        <v>191960</v>
      </c>
      <c r="J84" s="29">
        <f t="shared" si="51"/>
        <v>191960</v>
      </c>
      <c r="K84" s="77">
        <v>0</v>
      </c>
      <c r="L84" s="102">
        <f aca="true" t="shared" si="52" ref="L84:L145">K84-D84</f>
        <v>-191960</v>
      </c>
      <c r="M84" s="103">
        <f aca="true" t="shared" si="53" ref="M84:M145">K84/D84</f>
        <v>0</v>
      </c>
      <c r="N84" s="103">
        <f t="shared" si="49"/>
        <v>0</v>
      </c>
      <c r="O84" s="115">
        <f t="shared" si="50"/>
        <v>1.2515419340873708</v>
      </c>
      <c r="P84" s="3"/>
      <c r="Q84" s="3"/>
      <c r="R84" s="3"/>
      <c r="S84" s="3"/>
      <c r="T84" s="3"/>
      <c r="U84" s="3"/>
      <c r="V84" s="3"/>
      <c r="W84" s="3"/>
      <c r="X84" s="3"/>
      <c r="Y84" s="3"/>
      <c r="Z84" s="3"/>
      <c r="AA84" s="3"/>
      <c r="AB84" s="3"/>
      <c r="AC84" s="3"/>
      <c r="AD84" s="3"/>
    </row>
    <row r="85" spans="1:30" s="1" customFormat="1" ht="15">
      <c r="A85" s="31" t="s">
        <v>63</v>
      </c>
      <c r="B85" s="45" t="s">
        <v>62</v>
      </c>
      <c r="C85" s="29">
        <v>0</v>
      </c>
      <c r="D85" s="29">
        <v>0</v>
      </c>
      <c r="E85" s="29">
        <v>1</v>
      </c>
      <c r="F85" s="29">
        <v>2</v>
      </c>
      <c r="G85" s="29">
        <v>3</v>
      </c>
      <c r="H85" s="29">
        <v>4</v>
      </c>
      <c r="I85" s="29">
        <v>5</v>
      </c>
      <c r="J85" s="29">
        <v>6</v>
      </c>
      <c r="K85" s="77">
        <v>0</v>
      </c>
      <c r="L85" s="102">
        <f t="shared" si="52"/>
        <v>0</v>
      </c>
      <c r="M85" s="103">
        <v>0</v>
      </c>
      <c r="N85" s="103">
        <v>0</v>
      </c>
      <c r="O85" s="115">
        <v>0</v>
      </c>
      <c r="P85" s="3"/>
      <c r="Q85" s="3"/>
      <c r="R85" s="3"/>
      <c r="S85" s="3"/>
      <c r="T85" s="3"/>
      <c r="U85" s="3"/>
      <c r="V85" s="3"/>
      <c r="W85" s="3"/>
      <c r="X85" s="3"/>
      <c r="Y85" s="3"/>
      <c r="Z85" s="3"/>
      <c r="AA85" s="3"/>
      <c r="AB85" s="3"/>
      <c r="AC85" s="3"/>
      <c r="AD85" s="3"/>
    </row>
    <row r="86" spans="1:30" s="1" customFormat="1" ht="15">
      <c r="A86" s="31" t="s">
        <v>67</v>
      </c>
      <c r="B86" s="45"/>
      <c r="C86" s="29">
        <f>C13</f>
        <v>134179948.34</v>
      </c>
      <c r="D86" s="29">
        <f>D13</f>
        <v>132311299</v>
      </c>
      <c r="E86" s="29">
        <f>E13</f>
        <v>132311314</v>
      </c>
      <c r="F86" s="29">
        <f>F13</f>
        <v>132311329</v>
      </c>
      <c r="G86" s="29">
        <f>G13</f>
        <v>132311344</v>
      </c>
      <c r="H86" s="29">
        <f>H13</f>
        <v>132311359</v>
      </c>
      <c r="I86" s="29">
        <f>I13</f>
        <v>132311374</v>
      </c>
      <c r="J86" s="29">
        <f>J13</f>
        <v>132311389</v>
      </c>
      <c r="K86" s="77">
        <f>K13</f>
        <v>132670800</v>
      </c>
      <c r="L86" s="102">
        <f t="shared" si="52"/>
        <v>359501</v>
      </c>
      <c r="M86" s="103">
        <f t="shared" si="53"/>
        <v>1.0027170846535185</v>
      </c>
      <c r="N86" s="103">
        <v>0</v>
      </c>
      <c r="O86" s="115">
        <v>0</v>
      </c>
      <c r="P86" s="3"/>
      <c r="Q86" s="3"/>
      <c r="R86" s="3"/>
      <c r="S86" s="3"/>
      <c r="T86" s="3"/>
      <c r="U86" s="3"/>
      <c r="V86" s="3"/>
      <c r="W86" s="3"/>
      <c r="X86" s="3"/>
      <c r="Y86" s="3"/>
      <c r="Z86" s="3"/>
      <c r="AA86" s="3"/>
      <c r="AB86" s="3"/>
      <c r="AC86" s="3"/>
      <c r="AD86" s="3"/>
    </row>
    <row r="87" spans="1:30" s="1" customFormat="1" ht="15">
      <c r="A87" s="31" t="s">
        <v>187</v>
      </c>
      <c r="B87" s="45" t="s">
        <v>64</v>
      </c>
      <c r="C87" s="29">
        <f>C88</f>
        <v>304972929.97999996</v>
      </c>
      <c r="D87" s="29">
        <f>D88</f>
        <v>242724697.44</v>
      </c>
      <c r="E87" s="29">
        <f aca="true" t="shared" si="54" ref="E87:K87">E88</f>
        <v>242724698.44</v>
      </c>
      <c r="F87" s="29">
        <f t="shared" si="54"/>
        <v>242724699.44</v>
      </c>
      <c r="G87" s="29">
        <f t="shared" si="54"/>
        <v>242724700.44</v>
      </c>
      <c r="H87" s="29">
        <f t="shared" si="54"/>
        <v>242724701.44</v>
      </c>
      <c r="I87" s="29">
        <f t="shared" si="54"/>
        <v>242724702.44</v>
      </c>
      <c r="J87" s="29">
        <f t="shared" si="54"/>
        <v>242724703.44</v>
      </c>
      <c r="K87" s="64">
        <f t="shared" si="54"/>
        <v>238449968</v>
      </c>
      <c r="L87" s="102">
        <f t="shared" si="52"/>
        <v>-4274729.439999998</v>
      </c>
      <c r="M87" s="103">
        <f t="shared" si="53"/>
        <v>0.982388568262376</v>
      </c>
      <c r="N87" s="103">
        <f t="shared" si="49"/>
        <v>0.7818725682165872</v>
      </c>
      <c r="O87" s="115">
        <f t="shared" si="50"/>
        <v>0.7958893186222062</v>
      </c>
      <c r="P87" s="3"/>
      <c r="Q87" s="3"/>
      <c r="R87" s="3"/>
      <c r="S87" s="3"/>
      <c r="T87" s="3"/>
      <c r="U87" s="3"/>
      <c r="V87" s="3"/>
      <c r="W87" s="3"/>
      <c r="X87" s="3"/>
      <c r="Y87" s="3"/>
      <c r="Z87" s="3"/>
      <c r="AA87" s="3"/>
      <c r="AB87" s="3"/>
      <c r="AC87" s="3"/>
      <c r="AD87" s="3"/>
    </row>
    <row r="88" spans="1:30" s="1" customFormat="1" ht="46.5">
      <c r="A88" s="31" t="s">
        <v>186</v>
      </c>
      <c r="B88" s="45" t="s">
        <v>0</v>
      </c>
      <c r="C88" s="29">
        <f>C89+C105+C137+C96+C143+C144</f>
        <v>304972929.97999996</v>
      </c>
      <c r="D88" s="29">
        <f aca="true" t="shared" si="55" ref="D88:K88">D89+D105+D137+D96</f>
        <v>242724697.44</v>
      </c>
      <c r="E88" s="29">
        <f t="shared" si="55"/>
        <v>242724698.44</v>
      </c>
      <c r="F88" s="29">
        <f t="shared" si="55"/>
        <v>242724699.44</v>
      </c>
      <c r="G88" s="29">
        <f t="shared" si="55"/>
        <v>242724700.44</v>
      </c>
      <c r="H88" s="29">
        <f t="shared" si="55"/>
        <v>242724701.44</v>
      </c>
      <c r="I88" s="29">
        <f t="shared" si="55"/>
        <v>242724702.44</v>
      </c>
      <c r="J88" s="29">
        <f t="shared" si="55"/>
        <v>242724703.44</v>
      </c>
      <c r="K88" s="64">
        <f t="shared" si="55"/>
        <v>238449968</v>
      </c>
      <c r="L88" s="102">
        <f t="shared" si="52"/>
        <v>-4274729.439999998</v>
      </c>
      <c r="M88" s="103">
        <f t="shared" si="53"/>
        <v>0.982388568262376</v>
      </c>
      <c r="N88" s="103">
        <f t="shared" si="49"/>
        <v>0.7818725682165872</v>
      </c>
      <c r="O88" s="115">
        <f t="shared" si="50"/>
        <v>0.7958893186222062</v>
      </c>
      <c r="P88" s="3"/>
      <c r="Q88" s="3"/>
      <c r="R88" s="3"/>
      <c r="S88" s="3"/>
      <c r="T88" s="3"/>
      <c r="U88" s="3"/>
      <c r="V88" s="3"/>
      <c r="W88" s="3"/>
      <c r="X88" s="3"/>
      <c r="Y88" s="3"/>
      <c r="Z88" s="3"/>
      <c r="AA88" s="3"/>
      <c r="AB88" s="3"/>
      <c r="AC88" s="3"/>
      <c r="AD88" s="3"/>
    </row>
    <row r="89" spans="1:30" s="1" customFormat="1" ht="30.75">
      <c r="A89" s="31" t="s">
        <v>20</v>
      </c>
      <c r="B89" s="45" t="s">
        <v>65</v>
      </c>
      <c r="C89" s="29">
        <f>C90+C94+C92</f>
        <v>140967900</v>
      </c>
      <c r="D89" s="29">
        <f>D90+D94</f>
        <v>113669800</v>
      </c>
      <c r="E89" s="29">
        <f aca="true" t="shared" si="56" ref="E89:K89">E90+E94</f>
        <v>113669801</v>
      </c>
      <c r="F89" s="29">
        <f t="shared" si="56"/>
        <v>113669802</v>
      </c>
      <c r="G89" s="29">
        <f t="shared" si="56"/>
        <v>113669803</v>
      </c>
      <c r="H89" s="29">
        <f t="shared" si="56"/>
        <v>113669804</v>
      </c>
      <c r="I89" s="29">
        <f t="shared" si="56"/>
        <v>113669805</v>
      </c>
      <c r="J89" s="29">
        <f t="shared" si="56"/>
        <v>113669806</v>
      </c>
      <c r="K89" s="64">
        <f t="shared" si="56"/>
        <v>110875000</v>
      </c>
      <c r="L89" s="102">
        <f t="shared" si="52"/>
        <v>-2794800</v>
      </c>
      <c r="M89" s="103">
        <f t="shared" si="53"/>
        <v>0.975412994480504</v>
      </c>
      <c r="N89" s="103">
        <f t="shared" si="49"/>
        <v>0.7865265780365601</v>
      </c>
      <c r="O89" s="115">
        <f t="shared" si="50"/>
        <v>0.8063523681632485</v>
      </c>
      <c r="P89" s="3"/>
      <c r="Q89" s="3"/>
      <c r="R89" s="3"/>
      <c r="S89" s="3"/>
      <c r="T89" s="3"/>
      <c r="U89" s="3"/>
      <c r="V89" s="3"/>
      <c r="W89" s="3"/>
      <c r="X89" s="3"/>
      <c r="Y89" s="3"/>
      <c r="Z89" s="3"/>
      <c r="AA89" s="3"/>
      <c r="AB89" s="3"/>
      <c r="AC89" s="3"/>
      <c r="AD89" s="3"/>
    </row>
    <row r="90" spans="1:30" s="1" customFormat="1" ht="15">
      <c r="A90" s="31" t="s">
        <v>22</v>
      </c>
      <c r="B90" s="45" t="s">
        <v>23</v>
      </c>
      <c r="C90" s="29">
        <f>C91</f>
        <v>1938000</v>
      </c>
      <c r="D90" s="29">
        <f>D91</f>
        <v>1969000</v>
      </c>
      <c r="E90" s="29">
        <f aca="true" t="shared" si="57" ref="E90:K90">E91</f>
        <v>1969001</v>
      </c>
      <c r="F90" s="29">
        <f t="shared" si="57"/>
        <v>1969002</v>
      </c>
      <c r="G90" s="29">
        <f t="shared" si="57"/>
        <v>1969003</v>
      </c>
      <c r="H90" s="29">
        <f t="shared" si="57"/>
        <v>1969004</v>
      </c>
      <c r="I90" s="29">
        <f t="shared" si="57"/>
        <v>1969005</v>
      </c>
      <c r="J90" s="29">
        <f t="shared" si="57"/>
        <v>1969006</v>
      </c>
      <c r="K90" s="64">
        <f t="shared" si="57"/>
        <v>1996000</v>
      </c>
      <c r="L90" s="102">
        <f t="shared" si="52"/>
        <v>27000</v>
      </c>
      <c r="M90" s="103">
        <f t="shared" si="53"/>
        <v>1.0137125444388013</v>
      </c>
      <c r="N90" s="103">
        <f t="shared" si="49"/>
        <v>1.0299277605779154</v>
      </c>
      <c r="O90" s="115">
        <f t="shared" si="50"/>
        <v>1.0159958720330238</v>
      </c>
      <c r="P90" s="3"/>
      <c r="Q90" s="3"/>
      <c r="R90" s="3"/>
      <c r="S90" s="3"/>
      <c r="T90" s="3"/>
      <c r="U90" s="3"/>
      <c r="V90" s="3"/>
      <c r="W90" s="3"/>
      <c r="X90" s="3"/>
      <c r="Y90" s="3"/>
      <c r="Z90" s="3"/>
      <c r="AA90" s="3"/>
      <c r="AB90" s="3"/>
      <c r="AC90" s="3"/>
      <c r="AD90" s="3"/>
    </row>
    <row r="91" spans="1:30" s="1" customFormat="1" ht="30.75">
      <c r="A91" s="28" t="s">
        <v>185</v>
      </c>
      <c r="B91" s="46" t="s">
        <v>19</v>
      </c>
      <c r="C91" s="79">
        <v>1938000</v>
      </c>
      <c r="D91" s="30">
        <v>1969000</v>
      </c>
      <c r="E91" s="30">
        <v>1969001</v>
      </c>
      <c r="F91" s="30">
        <v>1969002</v>
      </c>
      <c r="G91" s="30">
        <v>1969003</v>
      </c>
      <c r="H91" s="30">
        <v>1969004</v>
      </c>
      <c r="I91" s="30">
        <v>1969005</v>
      </c>
      <c r="J91" s="30">
        <v>1969006</v>
      </c>
      <c r="K91" s="65">
        <v>1996000</v>
      </c>
      <c r="L91" s="100">
        <f t="shared" si="52"/>
        <v>27000</v>
      </c>
      <c r="M91" s="101">
        <f t="shared" si="53"/>
        <v>1.0137125444388013</v>
      </c>
      <c r="N91" s="101">
        <f t="shared" si="49"/>
        <v>1.0299277605779154</v>
      </c>
      <c r="O91" s="116">
        <f t="shared" si="50"/>
        <v>1.0159958720330238</v>
      </c>
      <c r="P91" s="3"/>
      <c r="Q91" s="3"/>
      <c r="R91" s="3"/>
      <c r="S91" s="3"/>
      <c r="T91" s="3"/>
      <c r="U91" s="3"/>
      <c r="V91" s="3"/>
      <c r="W91" s="3"/>
      <c r="X91" s="3"/>
      <c r="Y91" s="3"/>
      <c r="Z91" s="3"/>
      <c r="AA91" s="3"/>
      <c r="AB91" s="3"/>
      <c r="AC91" s="3"/>
      <c r="AD91" s="3"/>
    </row>
    <row r="92" spans="1:30" s="1" customFormat="1" ht="30.75">
      <c r="A92" s="31" t="s">
        <v>230</v>
      </c>
      <c r="B92" s="45" t="s">
        <v>229</v>
      </c>
      <c r="C92" s="32">
        <f>C93</f>
        <v>33820900</v>
      </c>
      <c r="D92" s="29">
        <v>0</v>
      </c>
      <c r="E92" s="29"/>
      <c r="F92" s="29"/>
      <c r="G92" s="29"/>
      <c r="H92" s="29"/>
      <c r="I92" s="29"/>
      <c r="J92" s="29"/>
      <c r="K92" s="64">
        <v>0</v>
      </c>
      <c r="L92" s="102">
        <v>0</v>
      </c>
      <c r="M92" s="103">
        <v>0</v>
      </c>
      <c r="N92" s="103">
        <f t="shared" si="49"/>
        <v>0</v>
      </c>
      <c r="O92" s="115">
        <f t="shared" si="50"/>
        <v>0</v>
      </c>
      <c r="P92" s="3"/>
      <c r="Q92" s="3"/>
      <c r="R92" s="3"/>
      <c r="S92" s="3"/>
      <c r="T92" s="3"/>
      <c r="U92" s="3"/>
      <c r="V92" s="3"/>
      <c r="W92" s="3"/>
      <c r="X92" s="3"/>
      <c r="Y92" s="3"/>
      <c r="Z92" s="3"/>
      <c r="AA92" s="3"/>
      <c r="AB92" s="3"/>
      <c r="AC92" s="3"/>
      <c r="AD92" s="3"/>
    </row>
    <row r="93" spans="1:30" s="1" customFormat="1" ht="30.75">
      <c r="A93" s="28" t="s">
        <v>230</v>
      </c>
      <c r="B93" s="46" t="s">
        <v>228</v>
      </c>
      <c r="C93" s="79">
        <v>33820900</v>
      </c>
      <c r="D93" s="30">
        <v>0</v>
      </c>
      <c r="E93" s="30"/>
      <c r="F93" s="30"/>
      <c r="G93" s="30"/>
      <c r="H93" s="30"/>
      <c r="I93" s="30"/>
      <c r="J93" s="30"/>
      <c r="K93" s="65">
        <v>0</v>
      </c>
      <c r="L93" s="100">
        <v>0</v>
      </c>
      <c r="M93" s="101">
        <v>0</v>
      </c>
      <c r="N93" s="101">
        <f t="shared" si="49"/>
        <v>0</v>
      </c>
      <c r="O93" s="116">
        <f t="shared" si="50"/>
        <v>0</v>
      </c>
      <c r="P93" s="3"/>
      <c r="Q93" s="3"/>
      <c r="R93" s="3"/>
      <c r="S93" s="3"/>
      <c r="T93" s="3"/>
      <c r="U93" s="3"/>
      <c r="V93" s="3"/>
      <c r="W93" s="3"/>
      <c r="X93" s="3"/>
      <c r="Y93" s="3"/>
      <c r="Z93" s="3"/>
      <c r="AA93" s="3"/>
      <c r="AB93" s="3"/>
      <c r="AC93" s="3"/>
      <c r="AD93" s="3"/>
    </row>
    <row r="94" spans="1:30" s="1" customFormat="1" ht="46.5">
      <c r="A94" s="31" t="s">
        <v>184</v>
      </c>
      <c r="B94" s="45" t="s">
        <v>21</v>
      </c>
      <c r="C94" s="29">
        <f>C95</f>
        <v>105209000</v>
      </c>
      <c r="D94" s="29">
        <f>D95</f>
        <v>111700800</v>
      </c>
      <c r="E94" s="29">
        <f aca="true" t="shared" si="58" ref="E94:K94">E95</f>
        <v>111700800</v>
      </c>
      <c r="F94" s="29">
        <f t="shared" si="58"/>
        <v>111700800</v>
      </c>
      <c r="G94" s="29">
        <f t="shared" si="58"/>
        <v>111700800</v>
      </c>
      <c r="H94" s="29">
        <f t="shared" si="58"/>
        <v>111700800</v>
      </c>
      <c r="I94" s="29">
        <f t="shared" si="58"/>
        <v>111700800</v>
      </c>
      <c r="J94" s="29">
        <f t="shared" si="58"/>
        <v>111700800</v>
      </c>
      <c r="K94" s="64">
        <f t="shared" si="58"/>
        <v>108879000</v>
      </c>
      <c r="L94" s="102">
        <f t="shared" si="52"/>
        <v>-2821800</v>
      </c>
      <c r="M94" s="103">
        <f t="shared" si="53"/>
        <v>0.9747378711701259</v>
      </c>
      <c r="N94" s="103">
        <f t="shared" si="49"/>
        <v>1.0348829472763736</v>
      </c>
      <c r="O94" s="115">
        <f t="shared" si="50"/>
        <v>1.0617038466290907</v>
      </c>
      <c r="P94" s="3"/>
      <c r="Q94" s="3"/>
      <c r="R94" s="3"/>
      <c r="S94" s="3"/>
      <c r="T94" s="3"/>
      <c r="U94" s="3"/>
      <c r="V94" s="3"/>
      <c r="W94" s="3"/>
      <c r="X94" s="3"/>
      <c r="Y94" s="3"/>
      <c r="Z94" s="3"/>
      <c r="AA94" s="3"/>
      <c r="AB94" s="3"/>
      <c r="AC94" s="3"/>
      <c r="AD94" s="3"/>
    </row>
    <row r="95" spans="1:30" s="14" customFormat="1" ht="46.5">
      <c r="A95" s="28" t="s">
        <v>183</v>
      </c>
      <c r="B95" s="46" t="s">
        <v>18</v>
      </c>
      <c r="C95" s="79">
        <v>105209000</v>
      </c>
      <c r="D95" s="30">
        <f>124112000-12411200</f>
        <v>111700800</v>
      </c>
      <c r="E95" s="30">
        <f aca="true" t="shared" si="59" ref="E95:J95">124112000-12411200</f>
        <v>111700800</v>
      </c>
      <c r="F95" s="30">
        <f t="shared" si="59"/>
        <v>111700800</v>
      </c>
      <c r="G95" s="30">
        <f t="shared" si="59"/>
        <v>111700800</v>
      </c>
      <c r="H95" s="30">
        <f t="shared" si="59"/>
        <v>111700800</v>
      </c>
      <c r="I95" s="30">
        <f t="shared" si="59"/>
        <v>111700800</v>
      </c>
      <c r="J95" s="30">
        <f t="shared" si="59"/>
        <v>111700800</v>
      </c>
      <c r="K95" s="65">
        <v>108879000</v>
      </c>
      <c r="L95" s="100">
        <f t="shared" si="52"/>
        <v>-2821800</v>
      </c>
      <c r="M95" s="101">
        <f t="shared" si="53"/>
        <v>0.9747378711701259</v>
      </c>
      <c r="N95" s="101">
        <f t="shared" si="49"/>
        <v>1.0348829472763736</v>
      </c>
      <c r="O95" s="116">
        <f t="shared" si="50"/>
        <v>1.0617038466290907</v>
      </c>
      <c r="P95" s="13"/>
      <c r="Q95" s="13"/>
      <c r="R95" s="13"/>
      <c r="S95" s="13"/>
      <c r="T95" s="13"/>
      <c r="U95" s="13"/>
      <c r="V95" s="13"/>
      <c r="W95" s="13"/>
      <c r="X95" s="13"/>
      <c r="Y95" s="13"/>
      <c r="Z95" s="13"/>
      <c r="AA95" s="13"/>
      <c r="AB95" s="13"/>
      <c r="AC95" s="13"/>
      <c r="AD95" s="13"/>
    </row>
    <row r="96" spans="1:30" s="56" customFormat="1" ht="30.75">
      <c r="A96" s="31" t="s">
        <v>151</v>
      </c>
      <c r="B96" s="45" t="s">
        <v>150</v>
      </c>
      <c r="C96" s="29">
        <f>C97</f>
        <v>7392870</v>
      </c>
      <c r="D96" s="29">
        <f>D97</f>
        <v>6365900</v>
      </c>
      <c r="E96" s="29">
        <f aca="true" t="shared" si="60" ref="E96:K96">E97</f>
        <v>6365900</v>
      </c>
      <c r="F96" s="29">
        <f t="shared" si="60"/>
        <v>6365900</v>
      </c>
      <c r="G96" s="29">
        <f t="shared" si="60"/>
        <v>6365900</v>
      </c>
      <c r="H96" s="29">
        <f t="shared" si="60"/>
        <v>6365900</v>
      </c>
      <c r="I96" s="29">
        <f t="shared" si="60"/>
        <v>6365900</v>
      </c>
      <c r="J96" s="29">
        <f t="shared" si="60"/>
        <v>6365900</v>
      </c>
      <c r="K96" s="64">
        <f t="shared" si="60"/>
        <v>5871700</v>
      </c>
      <c r="L96" s="102">
        <f t="shared" si="52"/>
        <v>-494200</v>
      </c>
      <c r="M96" s="103">
        <f t="shared" si="53"/>
        <v>0.9223676149483969</v>
      </c>
      <c r="N96" s="103">
        <f t="shared" si="49"/>
        <v>0.7942382322426879</v>
      </c>
      <c r="O96" s="115">
        <f t="shared" si="50"/>
        <v>0.861086425163705</v>
      </c>
      <c r="P96" s="12"/>
      <c r="Q96" s="12"/>
      <c r="R96" s="12"/>
      <c r="S96" s="12"/>
      <c r="T96" s="12"/>
      <c r="U96" s="12"/>
      <c r="V96" s="12"/>
      <c r="W96" s="12"/>
      <c r="X96" s="12"/>
      <c r="Y96" s="12"/>
      <c r="Z96" s="12"/>
      <c r="AA96" s="12"/>
      <c r="AB96" s="12"/>
      <c r="AC96" s="12"/>
      <c r="AD96" s="12"/>
    </row>
    <row r="97" spans="1:30" s="76" customFormat="1" ht="15">
      <c r="A97" s="40" t="s">
        <v>24</v>
      </c>
      <c r="B97" s="45" t="s">
        <v>25</v>
      </c>
      <c r="C97" s="29">
        <f>C98</f>
        <v>7392870</v>
      </c>
      <c r="D97" s="29">
        <f>D98</f>
        <v>6365900</v>
      </c>
      <c r="E97" s="29">
        <f aca="true" t="shared" si="61" ref="E97:K97">E98</f>
        <v>6365900</v>
      </c>
      <c r="F97" s="29">
        <f t="shared" si="61"/>
        <v>6365900</v>
      </c>
      <c r="G97" s="29">
        <f t="shared" si="61"/>
        <v>6365900</v>
      </c>
      <c r="H97" s="29">
        <f t="shared" si="61"/>
        <v>6365900</v>
      </c>
      <c r="I97" s="29">
        <f t="shared" si="61"/>
        <v>6365900</v>
      </c>
      <c r="J97" s="29">
        <f t="shared" si="61"/>
        <v>6365900</v>
      </c>
      <c r="K97" s="64">
        <f t="shared" si="61"/>
        <v>5871700</v>
      </c>
      <c r="L97" s="102">
        <f t="shared" si="52"/>
        <v>-494200</v>
      </c>
      <c r="M97" s="103">
        <f t="shared" si="53"/>
        <v>0.9223676149483969</v>
      </c>
      <c r="N97" s="103">
        <f t="shared" si="49"/>
        <v>0.7942382322426879</v>
      </c>
      <c r="O97" s="115">
        <f t="shared" si="50"/>
        <v>0.861086425163705</v>
      </c>
      <c r="P97" s="12"/>
      <c r="Q97" s="12"/>
      <c r="R97" s="12"/>
      <c r="S97" s="12"/>
      <c r="T97" s="12"/>
      <c r="U97" s="12"/>
      <c r="V97" s="12"/>
      <c r="W97" s="12"/>
      <c r="X97" s="12"/>
      <c r="Y97" s="12"/>
      <c r="Z97" s="12"/>
      <c r="AA97" s="12"/>
      <c r="AB97" s="12"/>
      <c r="AC97" s="12"/>
      <c r="AD97" s="12"/>
    </row>
    <row r="98" spans="1:15" s="13" customFormat="1" ht="15">
      <c r="A98" s="37" t="s">
        <v>15</v>
      </c>
      <c r="B98" s="46" t="s">
        <v>26</v>
      </c>
      <c r="C98" s="30">
        <f aca="true" t="shared" si="62" ref="C98:K98">C99+C100+C101+C102+C103</f>
        <v>7392870</v>
      </c>
      <c r="D98" s="30">
        <f t="shared" si="62"/>
        <v>6365900</v>
      </c>
      <c r="E98" s="30">
        <f t="shared" si="62"/>
        <v>6365900</v>
      </c>
      <c r="F98" s="30">
        <f t="shared" si="62"/>
        <v>6365900</v>
      </c>
      <c r="G98" s="30">
        <f t="shared" si="62"/>
        <v>6365900</v>
      </c>
      <c r="H98" s="30">
        <f t="shared" si="62"/>
        <v>6365900</v>
      </c>
      <c r="I98" s="30">
        <f t="shared" si="62"/>
        <v>6365900</v>
      </c>
      <c r="J98" s="30">
        <f t="shared" si="62"/>
        <v>6365900</v>
      </c>
      <c r="K98" s="65">
        <f t="shared" si="62"/>
        <v>5871700</v>
      </c>
      <c r="L98" s="100">
        <f t="shared" si="52"/>
        <v>-494200</v>
      </c>
      <c r="M98" s="101">
        <f t="shared" si="53"/>
        <v>0.9223676149483969</v>
      </c>
      <c r="N98" s="101">
        <f t="shared" si="49"/>
        <v>0.7942382322426879</v>
      </c>
      <c r="O98" s="116">
        <f t="shared" si="50"/>
        <v>0.861086425163705</v>
      </c>
    </row>
    <row r="99" spans="1:15" s="13" customFormat="1" ht="78">
      <c r="A99" s="37" t="s">
        <v>153</v>
      </c>
      <c r="B99" s="46" t="s">
        <v>26</v>
      </c>
      <c r="C99" s="79">
        <v>98500</v>
      </c>
      <c r="D99" s="30">
        <f>136600-400</f>
        <v>136200</v>
      </c>
      <c r="E99" s="30">
        <f aca="true" t="shared" si="63" ref="E99:J99">136600-400</f>
        <v>136200</v>
      </c>
      <c r="F99" s="30">
        <f t="shared" si="63"/>
        <v>136200</v>
      </c>
      <c r="G99" s="30">
        <f t="shared" si="63"/>
        <v>136200</v>
      </c>
      <c r="H99" s="30">
        <f t="shared" si="63"/>
        <v>136200</v>
      </c>
      <c r="I99" s="30">
        <f t="shared" si="63"/>
        <v>136200</v>
      </c>
      <c r="J99" s="30">
        <f t="shared" si="63"/>
        <v>136200</v>
      </c>
      <c r="K99" s="65">
        <v>166700</v>
      </c>
      <c r="L99" s="100">
        <f t="shared" si="52"/>
        <v>30500</v>
      </c>
      <c r="M99" s="101">
        <f t="shared" si="53"/>
        <v>1.223935389133627</v>
      </c>
      <c r="N99" s="101">
        <f t="shared" si="49"/>
        <v>1.6923857868020304</v>
      </c>
      <c r="O99" s="116">
        <f t="shared" si="50"/>
        <v>1.382741116751269</v>
      </c>
    </row>
    <row r="100" spans="1:15" s="13" customFormat="1" ht="78">
      <c r="A100" s="38" t="s">
        <v>154</v>
      </c>
      <c r="B100" s="46" t="s">
        <v>26</v>
      </c>
      <c r="C100" s="79">
        <f>5788500-4130</f>
        <v>5784370</v>
      </c>
      <c r="D100" s="30">
        <v>5969700</v>
      </c>
      <c r="E100" s="30">
        <v>5969700</v>
      </c>
      <c r="F100" s="30">
        <v>5969700</v>
      </c>
      <c r="G100" s="30">
        <v>5969700</v>
      </c>
      <c r="H100" s="30">
        <v>5969700</v>
      </c>
      <c r="I100" s="30">
        <v>5969700</v>
      </c>
      <c r="J100" s="30">
        <v>5969700</v>
      </c>
      <c r="K100" s="65">
        <v>5415300</v>
      </c>
      <c r="L100" s="100">
        <f t="shared" si="52"/>
        <v>-554400</v>
      </c>
      <c r="M100" s="101">
        <f t="shared" si="53"/>
        <v>0.9071310116086235</v>
      </c>
      <c r="N100" s="101">
        <f t="shared" si="49"/>
        <v>0.9361952987101447</v>
      </c>
      <c r="O100" s="116">
        <f t="shared" si="50"/>
        <v>1.032039789985772</v>
      </c>
    </row>
    <row r="101" spans="1:15" s="12" customFormat="1" ht="62.25">
      <c r="A101" s="37" t="s">
        <v>181</v>
      </c>
      <c r="B101" s="46" t="s">
        <v>26</v>
      </c>
      <c r="C101" s="30">
        <v>248600</v>
      </c>
      <c r="D101" s="30">
        <v>248600</v>
      </c>
      <c r="E101" s="30">
        <v>248600</v>
      </c>
      <c r="F101" s="30">
        <v>248600</v>
      </c>
      <c r="G101" s="30">
        <v>248600</v>
      </c>
      <c r="H101" s="30">
        <v>248600</v>
      </c>
      <c r="I101" s="30">
        <v>248600</v>
      </c>
      <c r="J101" s="30">
        <v>248600</v>
      </c>
      <c r="K101" s="65">
        <v>278300</v>
      </c>
      <c r="L101" s="100">
        <f t="shared" si="52"/>
        <v>29700</v>
      </c>
      <c r="M101" s="101">
        <f t="shared" si="53"/>
        <v>1.1194690265486726</v>
      </c>
      <c r="N101" s="101">
        <f t="shared" si="49"/>
        <v>1.1194690265486726</v>
      </c>
      <c r="O101" s="116">
        <f t="shared" si="50"/>
        <v>1</v>
      </c>
    </row>
    <row r="102" spans="1:15" s="5" customFormat="1" ht="61.5" customHeight="1">
      <c r="A102" s="37" t="s">
        <v>182</v>
      </c>
      <c r="B102" s="46" t="s">
        <v>26</v>
      </c>
      <c r="C102" s="79">
        <v>11400</v>
      </c>
      <c r="D102" s="30">
        <v>11400</v>
      </c>
      <c r="E102" s="30">
        <v>11400</v>
      </c>
      <c r="F102" s="30">
        <v>11400</v>
      </c>
      <c r="G102" s="30">
        <v>11400</v>
      </c>
      <c r="H102" s="30">
        <v>11400</v>
      </c>
      <c r="I102" s="30">
        <v>11400</v>
      </c>
      <c r="J102" s="30">
        <v>11400</v>
      </c>
      <c r="K102" s="65">
        <v>11400</v>
      </c>
      <c r="L102" s="100">
        <f t="shared" si="52"/>
        <v>0</v>
      </c>
      <c r="M102" s="101">
        <f t="shared" si="53"/>
        <v>1</v>
      </c>
      <c r="N102" s="101">
        <f t="shared" si="49"/>
        <v>1</v>
      </c>
      <c r="O102" s="116">
        <f t="shared" si="50"/>
        <v>1</v>
      </c>
    </row>
    <row r="103" spans="1:15" ht="37.5" customHeight="1">
      <c r="A103" s="55" t="s">
        <v>112</v>
      </c>
      <c r="B103" s="46" t="s">
        <v>26</v>
      </c>
      <c r="C103" s="30">
        <v>1250000</v>
      </c>
      <c r="D103" s="30">
        <v>0</v>
      </c>
      <c r="E103" s="30">
        <v>0</v>
      </c>
      <c r="F103" s="30">
        <v>0</v>
      </c>
      <c r="G103" s="30">
        <v>0</v>
      </c>
      <c r="H103" s="30">
        <v>0</v>
      </c>
      <c r="I103" s="30">
        <v>0</v>
      </c>
      <c r="J103" s="30">
        <v>0</v>
      </c>
      <c r="K103" s="99">
        <v>0</v>
      </c>
      <c r="L103" s="100">
        <f t="shared" si="52"/>
        <v>0</v>
      </c>
      <c r="M103" s="101">
        <v>0</v>
      </c>
      <c r="N103" s="101">
        <f t="shared" si="49"/>
        <v>0</v>
      </c>
      <c r="O103" s="116">
        <f t="shared" si="50"/>
        <v>0</v>
      </c>
    </row>
    <row r="104" spans="1:15" ht="0.75" customHeight="1" hidden="1">
      <c r="A104" s="55"/>
      <c r="B104" s="46"/>
      <c r="C104" s="79"/>
      <c r="D104" s="30"/>
      <c r="E104" s="30"/>
      <c r="F104" s="30"/>
      <c r="G104" s="30"/>
      <c r="H104" s="30"/>
      <c r="I104" s="30"/>
      <c r="J104" s="30"/>
      <c r="K104" s="66"/>
      <c r="L104" s="100"/>
      <c r="M104" s="101"/>
      <c r="N104" s="101" t="e">
        <f t="shared" si="49"/>
        <v>#DIV/0!</v>
      </c>
      <c r="O104" s="116" t="e">
        <f t="shared" si="50"/>
        <v>#DIV/0!</v>
      </c>
    </row>
    <row r="105" spans="1:30" s="1" customFormat="1" ht="30.75">
      <c r="A105" s="61" t="s">
        <v>180</v>
      </c>
      <c r="B105" s="45" t="s">
        <v>39</v>
      </c>
      <c r="C105" s="29">
        <f>C106+C110+C117+C112+C114+C108</f>
        <v>117925484.07</v>
      </c>
      <c r="D105" s="29">
        <f>D106+D110+D117+D112+D114</f>
        <v>122687017.44</v>
      </c>
      <c r="E105" s="29">
        <f aca="true" t="shared" si="64" ref="E105:J105">E106+E110+E117+E112+E114</f>
        <v>122687017.44</v>
      </c>
      <c r="F105" s="29">
        <f t="shared" si="64"/>
        <v>122687017.44</v>
      </c>
      <c r="G105" s="29">
        <f t="shared" si="64"/>
        <v>122687017.44</v>
      </c>
      <c r="H105" s="29">
        <f t="shared" si="64"/>
        <v>122687017.44</v>
      </c>
      <c r="I105" s="29">
        <f t="shared" si="64"/>
        <v>122687017.44</v>
      </c>
      <c r="J105" s="29">
        <f t="shared" si="64"/>
        <v>122687017.44</v>
      </c>
      <c r="K105" s="64">
        <f>K106+K110+K117+K112+K114+K108</f>
        <v>121701128</v>
      </c>
      <c r="L105" s="102">
        <f t="shared" si="52"/>
        <v>-985889.4399999976</v>
      </c>
      <c r="M105" s="103">
        <f t="shared" si="53"/>
        <v>0.9919641909912583</v>
      </c>
      <c r="N105" s="103">
        <f t="shared" si="49"/>
        <v>1.032017201029752</v>
      </c>
      <c r="O105" s="115">
        <f t="shared" si="50"/>
        <v>1.040377475721648</v>
      </c>
      <c r="P105" s="3"/>
      <c r="Q105" s="3"/>
      <c r="R105" s="3"/>
      <c r="S105" s="3"/>
      <c r="T105" s="3"/>
      <c r="U105" s="3"/>
      <c r="V105" s="3"/>
      <c r="W105" s="3"/>
      <c r="X105" s="3"/>
      <c r="Y105" s="3"/>
      <c r="Z105" s="3"/>
      <c r="AA105" s="3"/>
      <c r="AB105" s="3"/>
      <c r="AC105" s="3"/>
      <c r="AD105" s="3"/>
    </row>
    <row r="106" spans="1:30" s="1" customFormat="1" ht="30.75">
      <c r="A106" s="40" t="s">
        <v>27</v>
      </c>
      <c r="B106" s="45" t="s">
        <v>28</v>
      </c>
      <c r="C106" s="29">
        <f>C107</f>
        <v>815800</v>
      </c>
      <c r="D106" s="29">
        <f>D107</f>
        <v>622000</v>
      </c>
      <c r="E106" s="29">
        <f aca="true" t="shared" si="65" ref="E106:K106">E107</f>
        <v>622000</v>
      </c>
      <c r="F106" s="29">
        <f t="shared" si="65"/>
        <v>622000</v>
      </c>
      <c r="G106" s="29">
        <f t="shared" si="65"/>
        <v>622000</v>
      </c>
      <c r="H106" s="29">
        <f t="shared" si="65"/>
        <v>622000</v>
      </c>
      <c r="I106" s="29">
        <f t="shared" si="65"/>
        <v>622000</v>
      </c>
      <c r="J106" s="29">
        <f t="shared" si="65"/>
        <v>622000</v>
      </c>
      <c r="K106" s="64">
        <f t="shared" si="65"/>
        <v>684900</v>
      </c>
      <c r="L106" s="102">
        <f t="shared" si="52"/>
        <v>62900</v>
      </c>
      <c r="M106" s="103">
        <f t="shared" si="53"/>
        <v>1.1011254019292605</v>
      </c>
      <c r="N106" s="103">
        <f t="shared" si="49"/>
        <v>0.8395440058837951</v>
      </c>
      <c r="O106" s="115">
        <f t="shared" si="50"/>
        <v>0.7624417749448394</v>
      </c>
      <c r="P106" s="3"/>
      <c r="Q106" s="3"/>
      <c r="R106" s="3"/>
      <c r="S106" s="3"/>
      <c r="T106" s="3"/>
      <c r="U106" s="3"/>
      <c r="V106" s="3"/>
      <c r="W106" s="3"/>
      <c r="X106" s="3"/>
      <c r="Y106" s="3"/>
      <c r="Z106" s="3"/>
      <c r="AA106" s="3"/>
      <c r="AB106" s="3"/>
      <c r="AC106" s="3"/>
      <c r="AD106" s="3"/>
    </row>
    <row r="107" spans="1:15" ht="30.75">
      <c r="A107" s="37" t="s">
        <v>179</v>
      </c>
      <c r="B107" s="46" t="s">
        <v>29</v>
      </c>
      <c r="C107" s="30">
        <v>815800</v>
      </c>
      <c r="D107" s="30">
        <f>650400+40700-69100</f>
        <v>622000</v>
      </c>
      <c r="E107" s="30">
        <f aca="true" t="shared" si="66" ref="E107:J107">650400+40700-69100</f>
        <v>622000</v>
      </c>
      <c r="F107" s="30">
        <f t="shared" si="66"/>
        <v>622000</v>
      </c>
      <c r="G107" s="30">
        <f t="shared" si="66"/>
        <v>622000</v>
      </c>
      <c r="H107" s="30">
        <f t="shared" si="66"/>
        <v>622000</v>
      </c>
      <c r="I107" s="30">
        <f t="shared" si="66"/>
        <v>622000</v>
      </c>
      <c r="J107" s="30">
        <f t="shared" si="66"/>
        <v>622000</v>
      </c>
      <c r="K107" s="65">
        <v>684900</v>
      </c>
      <c r="L107" s="100">
        <f t="shared" si="52"/>
        <v>62900</v>
      </c>
      <c r="M107" s="101">
        <f t="shared" si="53"/>
        <v>1.1011254019292605</v>
      </c>
      <c r="N107" s="101">
        <f t="shared" si="49"/>
        <v>0.8395440058837951</v>
      </c>
      <c r="O107" s="116">
        <f t="shared" si="50"/>
        <v>0.7624417749448394</v>
      </c>
    </row>
    <row r="108" spans="1:15" s="3" customFormat="1" ht="46.5">
      <c r="A108" s="40" t="s">
        <v>163</v>
      </c>
      <c r="B108" s="45" t="s">
        <v>162</v>
      </c>
      <c r="C108" s="29">
        <f>C109</f>
        <v>0</v>
      </c>
      <c r="D108" s="29">
        <f>D109</f>
        <v>0</v>
      </c>
      <c r="E108" s="29"/>
      <c r="F108" s="29"/>
      <c r="G108" s="29"/>
      <c r="H108" s="29"/>
      <c r="I108" s="29"/>
      <c r="J108" s="29"/>
      <c r="K108" s="64">
        <f>K109</f>
        <v>5130</v>
      </c>
      <c r="L108" s="102">
        <f t="shared" si="52"/>
        <v>5130</v>
      </c>
      <c r="M108" s="103">
        <v>0</v>
      </c>
      <c r="N108" s="103">
        <v>0</v>
      </c>
      <c r="O108" s="115">
        <v>0</v>
      </c>
    </row>
    <row r="109" spans="1:15" s="3" customFormat="1" ht="46.5">
      <c r="A109" s="37" t="s">
        <v>164</v>
      </c>
      <c r="B109" s="46" t="s">
        <v>161</v>
      </c>
      <c r="C109" s="30">
        <v>0</v>
      </c>
      <c r="D109" s="30">
        <v>0</v>
      </c>
      <c r="E109" s="30"/>
      <c r="F109" s="30"/>
      <c r="G109" s="30"/>
      <c r="H109" s="30"/>
      <c r="I109" s="30"/>
      <c r="J109" s="30"/>
      <c r="K109" s="65">
        <v>5130</v>
      </c>
      <c r="L109" s="100">
        <f t="shared" si="52"/>
        <v>5130</v>
      </c>
      <c r="M109" s="101">
        <v>0</v>
      </c>
      <c r="N109" s="101">
        <v>0</v>
      </c>
      <c r="O109" s="116">
        <v>0</v>
      </c>
    </row>
    <row r="110" spans="1:15" s="3" customFormat="1" ht="46.5">
      <c r="A110" s="40" t="s">
        <v>30</v>
      </c>
      <c r="B110" s="45" t="s">
        <v>31</v>
      </c>
      <c r="C110" s="29">
        <f>C111</f>
        <v>291100</v>
      </c>
      <c r="D110" s="29">
        <f>D111</f>
        <v>281800</v>
      </c>
      <c r="E110" s="29">
        <f aca="true" t="shared" si="67" ref="E110:K110">E111</f>
        <v>281800</v>
      </c>
      <c r="F110" s="29">
        <f t="shared" si="67"/>
        <v>281800</v>
      </c>
      <c r="G110" s="29">
        <f t="shared" si="67"/>
        <v>281800</v>
      </c>
      <c r="H110" s="29">
        <f t="shared" si="67"/>
        <v>281800</v>
      </c>
      <c r="I110" s="29">
        <f t="shared" si="67"/>
        <v>281800</v>
      </c>
      <c r="J110" s="29">
        <f t="shared" si="67"/>
        <v>281800</v>
      </c>
      <c r="K110" s="64">
        <f t="shared" si="67"/>
        <v>291400</v>
      </c>
      <c r="L110" s="102">
        <f t="shared" si="52"/>
        <v>9600</v>
      </c>
      <c r="M110" s="103">
        <f t="shared" si="53"/>
        <v>1.0340667139815471</v>
      </c>
      <c r="N110" s="103">
        <f t="shared" si="49"/>
        <v>1.0010305736860186</v>
      </c>
      <c r="O110" s="115">
        <f t="shared" si="50"/>
        <v>0.9680522157334249</v>
      </c>
    </row>
    <row r="111" spans="1:15" s="3" customFormat="1" ht="46.5">
      <c r="A111" s="37" t="s">
        <v>101</v>
      </c>
      <c r="B111" s="46" t="s">
        <v>32</v>
      </c>
      <c r="C111" s="79">
        <v>291100</v>
      </c>
      <c r="D111" s="30">
        <f>275600-21400+27600</f>
        <v>281800</v>
      </c>
      <c r="E111" s="30">
        <f aca="true" t="shared" si="68" ref="E111:J111">275600-21400+27600</f>
        <v>281800</v>
      </c>
      <c r="F111" s="30">
        <f t="shared" si="68"/>
        <v>281800</v>
      </c>
      <c r="G111" s="30">
        <f t="shared" si="68"/>
        <v>281800</v>
      </c>
      <c r="H111" s="30">
        <f t="shared" si="68"/>
        <v>281800</v>
      </c>
      <c r="I111" s="30">
        <f t="shared" si="68"/>
        <v>281800</v>
      </c>
      <c r="J111" s="30">
        <f t="shared" si="68"/>
        <v>281800</v>
      </c>
      <c r="K111" s="65">
        <v>291400</v>
      </c>
      <c r="L111" s="100">
        <f t="shared" si="52"/>
        <v>9600</v>
      </c>
      <c r="M111" s="101">
        <f t="shared" si="53"/>
        <v>1.0340667139815471</v>
      </c>
      <c r="N111" s="101">
        <f t="shared" si="49"/>
        <v>1.0010305736860186</v>
      </c>
      <c r="O111" s="116">
        <f t="shared" si="50"/>
        <v>0.9680522157334249</v>
      </c>
    </row>
    <row r="112" spans="1:30" s="1" customFormat="1" ht="46.5">
      <c r="A112" s="40" t="s">
        <v>178</v>
      </c>
      <c r="B112" s="45" t="s">
        <v>146</v>
      </c>
      <c r="C112" s="29">
        <f>C113</f>
        <v>3025746.07</v>
      </c>
      <c r="D112" s="29">
        <f>D113</f>
        <v>2880600</v>
      </c>
      <c r="E112" s="29">
        <f aca="true" t="shared" si="69" ref="E112:K112">E113</f>
        <v>2880600</v>
      </c>
      <c r="F112" s="29">
        <f t="shared" si="69"/>
        <v>2880600</v>
      </c>
      <c r="G112" s="29">
        <f t="shared" si="69"/>
        <v>2880600</v>
      </c>
      <c r="H112" s="29">
        <f t="shared" si="69"/>
        <v>2880600</v>
      </c>
      <c r="I112" s="29">
        <f t="shared" si="69"/>
        <v>2880600</v>
      </c>
      <c r="J112" s="29">
        <f t="shared" si="69"/>
        <v>2880600</v>
      </c>
      <c r="K112" s="64">
        <f t="shared" si="69"/>
        <v>3536400</v>
      </c>
      <c r="L112" s="102">
        <f t="shared" si="52"/>
        <v>655800</v>
      </c>
      <c r="M112" s="103">
        <f t="shared" si="53"/>
        <v>1.227660903978338</v>
      </c>
      <c r="N112" s="103">
        <f t="shared" si="49"/>
        <v>1.1687695920893983</v>
      </c>
      <c r="O112" s="115">
        <f t="shared" si="50"/>
        <v>0.9520296592502887</v>
      </c>
      <c r="P112" s="3"/>
      <c r="Q112" s="3"/>
      <c r="R112" s="3"/>
      <c r="S112" s="3"/>
      <c r="T112" s="3"/>
      <c r="U112" s="3"/>
      <c r="V112" s="3"/>
      <c r="W112" s="3"/>
      <c r="X112" s="3"/>
      <c r="Y112" s="3"/>
      <c r="Z112" s="3"/>
      <c r="AA112" s="3"/>
      <c r="AB112" s="3"/>
      <c r="AC112" s="3"/>
      <c r="AD112" s="3"/>
    </row>
    <row r="113" spans="1:15" ht="46.5">
      <c r="A113" s="37" t="s">
        <v>177</v>
      </c>
      <c r="B113" s="46" t="s">
        <v>147</v>
      </c>
      <c r="C113" s="79">
        <v>3025746.07</v>
      </c>
      <c r="D113" s="30">
        <f>3160400-279800</f>
        <v>2880600</v>
      </c>
      <c r="E113" s="30">
        <f aca="true" t="shared" si="70" ref="E113:J113">3160400-279800</f>
        <v>2880600</v>
      </c>
      <c r="F113" s="30">
        <f t="shared" si="70"/>
        <v>2880600</v>
      </c>
      <c r="G113" s="30">
        <f t="shared" si="70"/>
        <v>2880600</v>
      </c>
      <c r="H113" s="30">
        <f t="shared" si="70"/>
        <v>2880600</v>
      </c>
      <c r="I113" s="30">
        <f t="shared" si="70"/>
        <v>2880600</v>
      </c>
      <c r="J113" s="30">
        <f t="shared" si="70"/>
        <v>2880600</v>
      </c>
      <c r="K113" s="65">
        <v>3536400</v>
      </c>
      <c r="L113" s="100">
        <f t="shared" si="52"/>
        <v>655800</v>
      </c>
      <c r="M113" s="101">
        <f t="shared" si="53"/>
        <v>1.227660903978338</v>
      </c>
      <c r="N113" s="101">
        <f t="shared" si="49"/>
        <v>1.1687695920893983</v>
      </c>
      <c r="O113" s="116">
        <f t="shared" si="50"/>
        <v>0.9520296592502887</v>
      </c>
    </row>
    <row r="114" spans="1:30" s="1" customFormat="1" ht="78">
      <c r="A114" s="40" t="s">
        <v>176</v>
      </c>
      <c r="B114" s="45" t="s">
        <v>149</v>
      </c>
      <c r="C114" s="29">
        <f>C115+C116</f>
        <v>1383954.07</v>
      </c>
      <c r="D114" s="29">
        <f>D115+D116</f>
        <v>1803200</v>
      </c>
      <c r="E114" s="29">
        <f aca="true" t="shared" si="71" ref="E114:K114">E115+E116</f>
        <v>1803200</v>
      </c>
      <c r="F114" s="29">
        <f t="shared" si="71"/>
        <v>1803200</v>
      </c>
      <c r="G114" s="29">
        <f t="shared" si="71"/>
        <v>1803200</v>
      </c>
      <c r="H114" s="29">
        <f t="shared" si="71"/>
        <v>1803200</v>
      </c>
      <c r="I114" s="29">
        <f t="shared" si="71"/>
        <v>1803200</v>
      </c>
      <c r="J114" s="29">
        <f t="shared" si="71"/>
        <v>1803200</v>
      </c>
      <c r="K114" s="64">
        <f t="shared" si="71"/>
        <v>2594600</v>
      </c>
      <c r="L114" s="102">
        <f t="shared" si="52"/>
        <v>791400</v>
      </c>
      <c r="M114" s="103">
        <f t="shared" si="53"/>
        <v>1.4388864241348713</v>
      </c>
      <c r="N114" s="103">
        <f t="shared" si="49"/>
        <v>1.8747731996626158</v>
      </c>
      <c r="O114" s="115">
        <f t="shared" si="50"/>
        <v>1.302933413100913</v>
      </c>
      <c r="P114" s="3"/>
      <c r="Q114" s="3"/>
      <c r="R114" s="3"/>
      <c r="S114" s="3"/>
      <c r="T114" s="3"/>
      <c r="U114" s="3"/>
      <c r="V114" s="3"/>
      <c r="W114" s="3"/>
      <c r="X114" s="3"/>
      <c r="Y114" s="3"/>
      <c r="Z114" s="3"/>
      <c r="AA114" s="3"/>
      <c r="AB114" s="3"/>
      <c r="AC114" s="3"/>
      <c r="AD114" s="3"/>
    </row>
    <row r="115" spans="1:15" ht="83.25" customHeight="1">
      <c r="A115" s="37" t="s">
        <v>175</v>
      </c>
      <c r="B115" s="46" t="s">
        <v>148</v>
      </c>
      <c r="C115" s="79">
        <v>1383954.07</v>
      </c>
      <c r="D115" s="30">
        <f>1780100-20900</f>
        <v>1759200</v>
      </c>
      <c r="E115" s="30">
        <f aca="true" t="shared" si="72" ref="E115:J115">1780100-20900</f>
        <v>1759200</v>
      </c>
      <c r="F115" s="30">
        <f t="shared" si="72"/>
        <v>1759200</v>
      </c>
      <c r="G115" s="30">
        <f t="shared" si="72"/>
        <v>1759200</v>
      </c>
      <c r="H115" s="30">
        <f t="shared" si="72"/>
        <v>1759200</v>
      </c>
      <c r="I115" s="30">
        <f t="shared" si="72"/>
        <v>1759200</v>
      </c>
      <c r="J115" s="30">
        <f t="shared" si="72"/>
        <v>1759200</v>
      </c>
      <c r="K115" s="65">
        <v>2531300</v>
      </c>
      <c r="L115" s="100">
        <f t="shared" si="52"/>
        <v>772100</v>
      </c>
      <c r="M115" s="101">
        <f t="shared" si="53"/>
        <v>1.4388926784902227</v>
      </c>
      <c r="N115" s="101">
        <f t="shared" si="49"/>
        <v>1.829034687545664</v>
      </c>
      <c r="O115" s="116">
        <f t="shared" si="50"/>
        <v>1.2711404504919732</v>
      </c>
    </row>
    <row r="116" spans="1:30" s="1" customFormat="1" ht="108.75">
      <c r="A116" s="37" t="s">
        <v>152</v>
      </c>
      <c r="B116" s="46" t="s">
        <v>148</v>
      </c>
      <c r="C116" s="79">
        <v>0</v>
      </c>
      <c r="D116" s="30">
        <f>44500-500</f>
        <v>44000</v>
      </c>
      <c r="E116" s="30">
        <f aca="true" t="shared" si="73" ref="E116:J116">44500-500</f>
        <v>44000</v>
      </c>
      <c r="F116" s="30">
        <f t="shared" si="73"/>
        <v>44000</v>
      </c>
      <c r="G116" s="30">
        <f t="shared" si="73"/>
        <v>44000</v>
      </c>
      <c r="H116" s="30">
        <f t="shared" si="73"/>
        <v>44000</v>
      </c>
      <c r="I116" s="30">
        <f t="shared" si="73"/>
        <v>44000</v>
      </c>
      <c r="J116" s="30">
        <f t="shared" si="73"/>
        <v>44000</v>
      </c>
      <c r="K116" s="65">
        <v>63300</v>
      </c>
      <c r="L116" s="100">
        <f t="shared" si="52"/>
        <v>19300</v>
      </c>
      <c r="M116" s="101">
        <f t="shared" si="53"/>
        <v>1.4386363636363637</v>
      </c>
      <c r="N116" s="101">
        <v>0</v>
      </c>
      <c r="O116" s="116">
        <v>0</v>
      </c>
      <c r="P116" s="3"/>
      <c r="Q116" s="3"/>
      <c r="R116" s="3"/>
      <c r="S116" s="3"/>
      <c r="T116" s="3"/>
      <c r="U116" s="3"/>
      <c r="V116" s="3"/>
      <c r="W116" s="3"/>
      <c r="X116" s="3"/>
      <c r="Y116" s="3"/>
      <c r="Z116" s="3"/>
      <c r="AA116" s="3"/>
      <c r="AB116" s="3"/>
      <c r="AC116" s="3"/>
      <c r="AD116" s="3"/>
    </row>
    <row r="117" spans="1:30" s="1" customFormat="1" ht="15">
      <c r="A117" s="40" t="s">
        <v>33</v>
      </c>
      <c r="B117" s="45" t="s">
        <v>34</v>
      </c>
      <c r="C117" s="29">
        <f>C118</f>
        <v>112408883.93</v>
      </c>
      <c r="D117" s="29">
        <f>D118</f>
        <v>117099417.44</v>
      </c>
      <c r="E117" s="29">
        <f aca="true" t="shared" si="74" ref="E117:K117">E118</f>
        <v>117099417.44</v>
      </c>
      <c r="F117" s="29">
        <f t="shared" si="74"/>
        <v>117099417.44</v>
      </c>
      <c r="G117" s="29">
        <f t="shared" si="74"/>
        <v>117099417.44</v>
      </c>
      <c r="H117" s="29">
        <f t="shared" si="74"/>
        <v>117099417.44</v>
      </c>
      <c r="I117" s="29">
        <f t="shared" si="74"/>
        <v>117099417.44</v>
      </c>
      <c r="J117" s="29">
        <f t="shared" si="74"/>
        <v>117099417.44</v>
      </c>
      <c r="K117" s="64">
        <f t="shared" si="74"/>
        <v>114588698</v>
      </c>
      <c r="L117" s="102">
        <f t="shared" si="52"/>
        <v>-2510719.4399999976</v>
      </c>
      <c r="M117" s="103">
        <f t="shared" si="53"/>
        <v>0.9785590783038144</v>
      </c>
      <c r="N117" s="103">
        <f t="shared" si="49"/>
        <v>1.0193918309104235</v>
      </c>
      <c r="O117" s="115">
        <f t="shared" si="50"/>
        <v>1.0417274271037236</v>
      </c>
      <c r="P117" s="3"/>
      <c r="Q117" s="3"/>
      <c r="R117" s="3"/>
      <c r="S117" s="3"/>
      <c r="T117" s="3"/>
      <c r="U117" s="3"/>
      <c r="V117" s="3"/>
      <c r="W117" s="3"/>
      <c r="X117" s="3"/>
      <c r="Y117" s="3"/>
      <c r="Z117" s="3"/>
      <c r="AA117" s="3"/>
      <c r="AB117" s="3"/>
      <c r="AC117" s="3"/>
      <c r="AD117" s="3"/>
    </row>
    <row r="118" spans="1:15" ht="15">
      <c r="A118" s="37" t="s">
        <v>40</v>
      </c>
      <c r="B118" s="46" t="s">
        <v>35</v>
      </c>
      <c r="C118" s="30">
        <f>C119+C120+C121+C122+C123+C124+C125+C126+C127+C128+C129+C130+C131+C132+C133+C134+C135+C136</f>
        <v>112408883.93</v>
      </c>
      <c r="D118" s="30">
        <f>D119+D120+D121+D122+D123+D124+D125+D126+D127+D128+D129+D130+D131+D132+D133+D134</f>
        <v>117099417.44</v>
      </c>
      <c r="E118" s="30">
        <f aca="true" t="shared" si="75" ref="E118:K118">E119+E120+E121+E122+E123+E124+E125+E126+E127+E128+E129+E130+E131+E132+E133+E134</f>
        <v>117099417.44</v>
      </c>
      <c r="F118" s="30">
        <f t="shared" si="75"/>
        <v>117099417.44</v>
      </c>
      <c r="G118" s="30">
        <f t="shared" si="75"/>
        <v>117099417.44</v>
      </c>
      <c r="H118" s="30">
        <f t="shared" si="75"/>
        <v>117099417.44</v>
      </c>
      <c r="I118" s="30">
        <f t="shared" si="75"/>
        <v>117099417.44</v>
      </c>
      <c r="J118" s="30">
        <f t="shared" si="75"/>
        <v>117099417.44</v>
      </c>
      <c r="K118" s="65">
        <f t="shared" si="75"/>
        <v>114588698</v>
      </c>
      <c r="L118" s="100">
        <f t="shared" si="52"/>
        <v>-2510719.4399999976</v>
      </c>
      <c r="M118" s="101">
        <f t="shared" si="53"/>
        <v>0.9785590783038144</v>
      </c>
      <c r="N118" s="101">
        <f t="shared" si="49"/>
        <v>1.0193918309104235</v>
      </c>
      <c r="O118" s="116">
        <f t="shared" si="50"/>
        <v>1.0417274271037236</v>
      </c>
    </row>
    <row r="119" spans="1:30" s="14" customFormat="1" ht="46.5">
      <c r="A119" s="37" t="s">
        <v>167</v>
      </c>
      <c r="B119" s="46" t="s">
        <v>35</v>
      </c>
      <c r="C119" s="79">
        <v>853000</v>
      </c>
      <c r="D119" s="30">
        <v>881000</v>
      </c>
      <c r="E119" s="30">
        <v>881000</v>
      </c>
      <c r="F119" s="30">
        <v>881000</v>
      </c>
      <c r="G119" s="30">
        <v>881000</v>
      </c>
      <c r="H119" s="30">
        <v>881000</v>
      </c>
      <c r="I119" s="30">
        <v>881000</v>
      </c>
      <c r="J119" s="30">
        <v>881000</v>
      </c>
      <c r="K119" s="65">
        <v>881000</v>
      </c>
      <c r="L119" s="100">
        <f t="shared" si="52"/>
        <v>0</v>
      </c>
      <c r="M119" s="101">
        <f t="shared" si="53"/>
        <v>1</v>
      </c>
      <c r="N119" s="101">
        <f t="shared" si="49"/>
        <v>1.032825322391559</v>
      </c>
      <c r="O119" s="116">
        <f t="shared" si="50"/>
        <v>1.032825322391559</v>
      </c>
      <c r="P119" s="13"/>
      <c r="Q119" s="13"/>
      <c r="R119" s="13"/>
      <c r="S119" s="13"/>
      <c r="T119" s="13"/>
      <c r="U119" s="13"/>
      <c r="V119" s="13"/>
      <c r="W119" s="13"/>
      <c r="X119" s="13"/>
      <c r="Y119" s="13"/>
      <c r="Z119" s="13"/>
      <c r="AA119" s="13"/>
      <c r="AB119" s="13"/>
      <c r="AC119" s="13"/>
      <c r="AD119" s="13"/>
    </row>
    <row r="120" spans="1:30" s="14" customFormat="1" ht="30.75">
      <c r="A120" s="37" t="s">
        <v>160</v>
      </c>
      <c r="B120" s="46" t="s">
        <v>35</v>
      </c>
      <c r="C120" s="88">
        <v>170600</v>
      </c>
      <c r="D120" s="30">
        <v>75000</v>
      </c>
      <c r="E120" s="30">
        <v>75000</v>
      </c>
      <c r="F120" s="30">
        <v>75000</v>
      </c>
      <c r="G120" s="30">
        <v>75000</v>
      </c>
      <c r="H120" s="30">
        <v>75000</v>
      </c>
      <c r="I120" s="30">
        <v>75000</v>
      </c>
      <c r="J120" s="30">
        <v>75000</v>
      </c>
      <c r="K120" s="65">
        <v>82500</v>
      </c>
      <c r="L120" s="100">
        <f t="shared" si="52"/>
        <v>7500</v>
      </c>
      <c r="M120" s="101">
        <f t="shared" si="53"/>
        <v>1.1</v>
      </c>
      <c r="N120" s="101">
        <f t="shared" si="49"/>
        <v>0.4835873388042204</v>
      </c>
      <c r="O120" s="116">
        <f t="shared" si="50"/>
        <v>0.4396248534583822</v>
      </c>
      <c r="P120" s="13"/>
      <c r="Q120" s="13"/>
      <c r="R120" s="13"/>
      <c r="S120" s="13"/>
      <c r="T120" s="13"/>
      <c r="U120" s="13"/>
      <c r="V120" s="13"/>
      <c r="W120" s="13"/>
      <c r="X120" s="13"/>
      <c r="Y120" s="13"/>
      <c r="Z120" s="13"/>
      <c r="AA120" s="13"/>
      <c r="AB120" s="13"/>
      <c r="AC120" s="13"/>
      <c r="AD120" s="13"/>
    </row>
    <row r="121" spans="1:30" s="14" customFormat="1" ht="95.25" customHeight="1">
      <c r="A121" s="37" t="s">
        <v>168</v>
      </c>
      <c r="B121" s="46" t="s">
        <v>35</v>
      </c>
      <c r="C121" s="88">
        <v>6000</v>
      </c>
      <c r="D121" s="30">
        <v>6000</v>
      </c>
      <c r="E121" s="30">
        <v>6000</v>
      </c>
      <c r="F121" s="30">
        <v>6000</v>
      </c>
      <c r="G121" s="30">
        <v>6000</v>
      </c>
      <c r="H121" s="30">
        <v>6000</v>
      </c>
      <c r="I121" s="30">
        <v>6000</v>
      </c>
      <c r="J121" s="30">
        <v>6000</v>
      </c>
      <c r="K121" s="65">
        <v>6000</v>
      </c>
      <c r="L121" s="100">
        <f t="shared" si="52"/>
        <v>0</v>
      </c>
      <c r="M121" s="101">
        <f t="shared" si="53"/>
        <v>1</v>
      </c>
      <c r="N121" s="101">
        <f t="shared" si="49"/>
        <v>1</v>
      </c>
      <c r="O121" s="116">
        <f t="shared" si="50"/>
        <v>1</v>
      </c>
      <c r="P121" s="13"/>
      <c r="Q121" s="13"/>
      <c r="R121" s="13"/>
      <c r="S121" s="13"/>
      <c r="T121" s="13"/>
      <c r="U121" s="13"/>
      <c r="V121" s="13"/>
      <c r="W121" s="13"/>
      <c r="X121" s="13"/>
      <c r="Y121" s="13"/>
      <c r="Z121" s="13"/>
      <c r="AA121" s="13"/>
      <c r="AB121" s="13"/>
      <c r="AC121" s="13"/>
      <c r="AD121" s="13"/>
    </row>
    <row r="122" spans="1:30" s="14" customFormat="1" ht="78">
      <c r="A122" s="37" t="s">
        <v>169</v>
      </c>
      <c r="B122" s="46" t="s">
        <v>35</v>
      </c>
      <c r="C122" s="88">
        <v>3200</v>
      </c>
      <c r="D122" s="30">
        <v>3300</v>
      </c>
      <c r="E122" s="30">
        <v>3300</v>
      </c>
      <c r="F122" s="30">
        <v>3300</v>
      </c>
      <c r="G122" s="30">
        <v>3300</v>
      </c>
      <c r="H122" s="30">
        <v>3300</v>
      </c>
      <c r="I122" s="30">
        <v>3300</v>
      </c>
      <c r="J122" s="30">
        <v>3300</v>
      </c>
      <c r="K122" s="65">
        <v>3300</v>
      </c>
      <c r="L122" s="100">
        <f t="shared" si="52"/>
        <v>0</v>
      </c>
      <c r="M122" s="101">
        <f t="shared" si="53"/>
        <v>1</v>
      </c>
      <c r="N122" s="101">
        <f t="shared" si="49"/>
        <v>1.03125</v>
      </c>
      <c r="O122" s="116">
        <f t="shared" si="50"/>
        <v>1.03125</v>
      </c>
      <c r="P122" s="13"/>
      <c r="Q122" s="13"/>
      <c r="R122" s="13"/>
      <c r="S122" s="13"/>
      <c r="T122" s="13"/>
      <c r="U122" s="13"/>
      <c r="V122" s="13"/>
      <c r="W122" s="13"/>
      <c r="X122" s="13"/>
      <c r="Y122" s="13"/>
      <c r="Z122" s="13"/>
      <c r="AA122" s="13"/>
      <c r="AB122" s="13"/>
      <c r="AC122" s="13"/>
      <c r="AD122" s="13"/>
    </row>
    <row r="123" spans="1:30" s="14" customFormat="1" ht="93">
      <c r="A123" s="37" t="s">
        <v>158</v>
      </c>
      <c r="B123" s="46" t="s">
        <v>35</v>
      </c>
      <c r="C123" s="79">
        <v>13100</v>
      </c>
      <c r="D123" s="30">
        <v>8600</v>
      </c>
      <c r="E123" s="30">
        <v>8600</v>
      </c>
      <c r="F123" s="30">
        <v>8600</v>
      </c>
      <c r="G123" s="30">
        <v>8600</v>
      </c>
      <c r="H123" s="30">
        <v>8600</v>
      </c>
      <c r="I123" s="30">
        <v>8600</v>
      </c>
      <c r="J123" s="30">
        <v>8600</v>
      </c>
      <c r="K123" s="65">
        <v>22000</v>
      </c>
      <c r="L123" s="100">
        <f t="shared" si="52"/>
        <v>13400</v>
      </c>
      <c r="M123" s="101">
        <f t="shared" si="53"/>
        <v>2.558139534883721</v>
      </c>
      <c r="N123" s="101">
        <f t="shared" si="49"/>
        <v>1.6793893129770991</v>
      </c>
      <c r="O123" s="116">
        <f t="shared" si="50"/>
        <v>0.6564885496183206</v>
      </c>
      <c r="P123" s="13"/>
      <c r="Q123" s="13"/>
      <c r="R123" s="13"/>
      <c r="S123" s="13"/>
      <c r="T123" s="13"/>
      <c r="U123" s="13"/>
      <c r="V123" s="13"/>
      <c r="W123" s="13"/>
      <c r="X123" s="13"/>
      <c r="Y123" s="13"/>
      <c r="Z123" s="13"/>
      <c r="AA123" s="13"/>
      <c r="AB123" s="13"/>
      <c r="AC123" s="13"/>
      <c r="AD123" s="13"/>
    </row>
    <row r="124" spans="1:15" s="12" customFormat="1" ht="78">
      <c r="A124" s="39" t="s">
        <v>170</v>
      </c>
      <c r="B124" s="46" t="s">
        <v>35</v>
      </c>
      <c r="C124" s="88">
        <v>4200</v>
      </c>
      <c r="D124" s="30">
        <f>4400-600</f>
        <v>3800</v>
      </c>
      <c r="E124" s="30">
        <f aca="true" t="shared" si="76" ref="E124:J124">4400-600</f>
        <v>3800</v>
      </c>
      <c r="F124" s="30">
        <f t="shared" si="76"/>
        <v>3800</v>
      </c>
      <c r="G124" s="30">
        <f t="shared" si="76"/>
        <v>3800</v>
      </c>
      <c r="H124" s="30">
        <f t="shared" si="76"/>
        <v>3800</v>
      </c>
      <c r="I124" s="30">
        <f t="shared" si="76"/>
        <v>3800</v>
      </c>
      <c r="J124" s="30">
        <f t="shared" si="76"/>
        <v>3800</v>
      </c>
      <c r="K124" s="65">
        <v>4400</v>
      </c>
      <c r="L124" s="100">
        <f t="shared" si="52"/>
        <v>600</v>
      </c>
      <c r="M124" s="101">
        <f t="shared" si="53"/>
        <v>1.1578947368421053</v>
      </c>
      <c r="N124" s="101">
        <f t="shared" si="49"/>
        <v>1.0476190476190477</v>
      </c>
      <c r="O124" s="116">
        <f t="shared" si="50"/>
        <v>0.9047619047619048</v>
      </c>
    </row>
    <row r="125" spans="1:15" s="12" customFormat="1" ht="78">
      <c r="A125" s="39" t="s">
        <v>171</v>
      </c>
      <c r="B125" s="46" t="s">
        <v>35</v>
      </c>
      <c r="C125" s="88">
        <f>238100-11900</f>
        <v>226200</v>
      </c>
      <c r="D125" s="30">
        <f>206700-5500-25200</f>
        <v>176000</v>
      </c>
      <c r="E125" s="30">
        <f aca="true" t="shared" si="77" ref="E125:J125">206700-5500-25200</f>
        <v>176000</v>
      </c>
      <c r="F125" s="30">
        <f t="shared" si="77"/>
        <v>176000</v>
      </c>
      <c r="G125" s="30">
        <f t="shared" si="77"/>
        <v>176000</v>
      </c>
      <c r="H125" s="30">
        <f t="shared" si="77"/>
        <v>176000</v>
      </c>
      <c r="I125" s="30">
        <f t="shared" si="77"/>
        <v>176000</v>
      </c>
      <c r="J125" s="30">
        <f t="shared" si="77"/>
        <v>176000</v>
      </c>
      <c r="K125" s="65">
        <v>197500</v>
      </c>
      <c r="L125" s="100">
        <f t="shared" si="52"/>
        <v>21500</v>
      </c>
      <c r="M125" s="101">
        <f t="shared" si="53"/>
        <v>1.1221590909090908</v>
      </c>
      <c r="N125" s="101">
        <f t="shared" si="49"/>
        <v>0.8731211317418214</v>
      </c>
      <c r="O125" s="116">
        <f t="shared" si="50"/>
        <v>0.7780725022104332</v>
      </c>
    </row>
    <row r="126" spans="1:30" s="14" customFormat="1" ht="46.5">
      <c r="A126" s="37" t="s">
        <v>155</v>
      </c>
      <c r="B126" s="46" t="s">
        <v>35</v>
      </c>
      <c r="C126" s="88">
        <f>62197900-3100200</f>
        <v>59097700</v>
      </c>
      <c r="D126" s="30">
        <f>60023400-3252300+1134200</f>
        <v>57905300</v>
      </c>
      <c r="E126" s="30">
        <f aca="true" t="shared" si="78" ref="E126:J126">60023400-3252300+1134200</f>
        <v>57905300</v>
      </c>
      <c r="F126" s="30">
        <f t="shared" si="78"/>
        <v>57905300</v>
      </c>
      <c r="G126" s="30">
        <f t="shared" si="78"/>
        <v>57905300</v>
      </c>
      <c r="H126" s="30">
        <f t="shared" si="78"/>
        <v>57905300</v>
      </c>
      <c r="I126" s="30">
        <f t="shared" si="78"/>
        <v>57905300</v>
      </c>
      <c r="J126" s="30">
        <f t="shared" si="78"/>
        <v>57905300</v>
      </c>
      <c r="K126" s="65">
        <v>59583900</v>
      </c>
      <c r="L126" s="100">
        <f t="shared" si="52"/>
        <v>1678600</v>
      </c>
      <c r="M126" s="101">
        <f t="shared" si="53"/>
        <v>1.0289887108779334</v>
      </c>
      <c r="N126" s="101">
        <f t="shared" si="49"/>
        <v>1.0082270545215803</v>
      </c>
      <c r="O126" s="116">
        <f t="shared" si="50"/>
        <v>0.9798232418520517</v>
      </c>
      <c r="P126" s="13"/>
      <c r="Q126" s="13"/>
      <c r="R126" s="13"/>
      <c r="S126" s="13"/>
      <c r="T126" s="13"/>
      <c r="U126" s="13"/>
      <c r="V126" s="13"/>
      <c r="W126" s="13"/>
      <c r="X126" s="13"/>
      <c r="Y126" s="13"/>
      <c r="Z126" s="13"/>
      <c r="AA126" s="13"/>
      <c r="AB126" s="13"/>
      <c r="AC126" s="13"/>
      <c r="AD126" s="13"/>
    </row>
    <row r="127" spans="1:30" s="14" customFormat="1" ht="62.25">
      <c r="A127" s="37" t="s">
        <v>100</v>
      </c>
      <c r="B127" s="46" t="s">
        <v>35</v>
      </c>
      <c r="C127" s="88">
        <f>44662200-2774500+435400-5555736.07</f>
        <v>36767363.93</v>
      </c>
      <c r="D127" s="30">
        <f>46460700-1444700+6300</f>
        <v>45022300</v>
      </c>
      <c r="E127" s="30">
        <f aca="true" t="shared" si="79" ref="E127:J127">46460700-1444700+6300</f>
        <v>45022300</v>
      </c>
      <c r="F127" s="30">
        <f t="shared" si="79"/>
        <v>45022300</v>
      </c>
      <c r="G127" s="30">
        <f t="shared" si="79"/>
        <v>45022300</v>
      </c>
      <c r="H127" s="30">
        <f t="shared" si="79"/>
        <v>45022300</v>
      </c>
      <c r="I127" s="30">
        <f t="shared" si="79"/>
        <v>45022300</v>
      </c>
      <c r="J127" s="30">
        <f t="shared" si="79"/>
        <v>45022300</v>
      </c>
      <c r="K127" s="65">
        <v>42230200</v>
      </c>
      <c r="L127" s="100">
        <f t="shared" si="52"/>
        <v>-2792100</v>
      </c>
      <c r="M127" s="101">
        <f t="shared" si="53"/>
        <v>0.9379840656741215</v>
      </c>
      <c r="N127" s="101">
        <f t="shared" si="49"/>
        <v>1.1485783990497793</v>
      </c>
      <c r="O127" s="116">
        <f t="shared" si="50"/>
        <v>1.224518028698393</v>
      </c>
      <c r="P127" s="13"/>
      <c r="Q127" s="13"/>
      <c r="R127" s="13"/>
      <c r="S127" s="13"/>
      <c r="T127" s="13"/>
      <c r="U127" s="13"/>
      <c r="V127" s="13"/>
      <c r="W127" s="13"/>
      <c r="X127" s="13"/>
      <c r="Y127" s="13"/>
      <c r="Z127" s="13"/>
      <c r="AA127" s="13"/>
      <c r="AB127" s="13"/>
      <c r="AC127" s="13"/>
      <c r="AD127" s="13"/>
    </row>
    <row r="128" spans="1:15" s="12" customFormat="1" ht="30.75">
      <c r="A128" s="37" t="s">
        <v>156</v>
      </c>
      <c r="B128" s="46" t="s">
        <v>35</v>
      </c>
      <c r="C128" s="88">
        <f>1336900-77500</f>
        <v>1259400</v>
      </c>
      <c r="D128" s="30">
        <f>1258900+88100</f>
        <v>1347000</v>
      </c>
      <c r="E128" s="30">
        <f aca="true" t="shared" si="80" ref="E128:J128">1258900+88100</f>
        <v>1347000</v>
      </c>
      <c r="F128" s="30">
        <f t="shared" si="80"/>
        <v>1347000</v>
      </c>
      <c r="G128" s="30">
        <f t="shared" si="80"/>
        <v>1347000</v>
      </c>
      <c r="H128" s="30">
        <f t="shared" si="80"/>
        <v>1347000</v>
      </c>
      <c r="I128" s="30">
        <f t="shared" si="80"/>
        <v>1347000</v>
      </c>
      <c r="J128" s="30">
        <f t="shared" si="80"/>
        <v>1347000</v>
      </c>
      <c r="K128" s="65">
        <v>1595600</v>
      </c>
      <c r="L128" s="100">
        <f t="shared" si="52"/>
        <v>248600</v>
      </c>
      <c r="M128" s="101">
        <f t="shared" si="53"/>
        <v>1.184558277654046</v>
      </c>
      <c r="N128" s="101">
        <f t="shared" si="49"/>
        <v>1.2669525170716214</v>
      </c>
      <c r="O128" s="116">
        <f t="shared" si="50"/>
        <v>1.0695569318723201</v>
      </c>
    </row>
    <row r="129" spans="1:15" s="12" customFormat="1" ht="81" customHeight="1">
      <c r="A129" s="37" t="s">
        <v>157</v>
      </c>
      <c r="B129" s="46" t="s">
        <v>35</v>
      </c>
      <c r="C129" s="88">
        <v>75100</v>
      </c>
      <c r="D129" s="30">
        <v>78400</v>
      </c>
      <c r="E129" s="30">
        <v>78400</v>
      </c>
      <c r="F129" s="30">
        <v>78400</v>
      </c>
      <c r="G129" s="30">
        <v>78400</v>
      </c>
      <c r="H129" s="30">
        <v>78400</v>
      </c>
      <c r="I129" s="30">
        <v>78400</v>
      </c>
      <c r="J129" s="30">
        <v>78400</v>
      </c>
      <c r="K129" s="65">
        <v>65200</v>
      </c>
      <c r="L129" s="100">
        <f t="shared" si="52"/>
        <v>-13200</v>
      </c>
      <c r="M129" s="101">
        <f t="shared" si="53"/>
        <v>0.8316326530612245</v>
      </c>
      <c r="N129" s="101">
        <f t="shared" si="49"/>
        <v>0.8681757656458056</v>
      </c>
      <c r="O129" s="116">
        <f t="shared" si="50"/>
        <v>1.043941411451398</v>
      </c>
    </row>
    <row r="130" spans="1:15" s="12" customFormat="1" ht="84.75" customHeight="1">
      <c r="A130" s="37" t="s">
        <v>102</v>
      </c>
      <c r="B130" s="46" t="s">
        <v>35</v>
      </c>
      <c r="C130" s="88">
        <f>13063300-632100-429700</f>
        <v>12001500</v>
      </c>
      <c r="D130" s="30">
        <f>12234300-1635100</f>
        <v>10599200</v>
      </c>
      <c r="E130" s="30">
        <f aca="true" t="shared" si="81" ref="E130:J130">12234300-1635100</f>
        <v>10599200</v>
      </c>
      <c r="F130" s="30">
        <f t="shared" si="81"/>
        <v>10599200</v>
      </c>
      <c r="G130" s="30">
        <f t="shared" si="81"/>
        <v>10599200</v>
      </c>
      <c r="H130" s="30">
        <f t="shared" si="81"/>
        <v>10599200</v>
      </c>
      <c r="I130" s="30">
        <f t="shared" si="81"/>
        <v>10599200</v>
      </c>
      <c r="J130" s="30">
        <f t="shared" si="81"/>
        <v>10599200</v>
      </c>
      <c r="K130" s="65">
        <v>8915400</v>
      </c>
      <c r="L130" s="100">
        <f t="shared" si="52"/>
        <v>-1683800</v>
      </c>
      <c r="M130" s="101">
        <f t="shared" si="53"/>
        <v>0.841138953883312</v>
      </c>
      <c r="N130" s="101">
        <f t="shared" si="49"/>
        <v>0.7428571428571429</v>
      </c>
      <c r="O130" s="116">
        <f t="shared" si="50"/>
        <v>0.8831562721326501</v>
      </c>
    </row>
    <row r="131" spans="1:15" s="12" customFormat="1" ht="78">
      <c r="A131" s="39" t="s">
        <v>172</v>
      </c>
      <c r="B131" s="46" t="s">
        <v>35</v>
      </c>
      <c r="C131" s="88">
        <f>67600-24600</f>
        <v>43000</v>
      </c>
      <c r="D131" s="30">
        <f>33800+200</f>
        <v>34000</v>
      </c>
      <c r="E131" s="30">
        <f aca="true" t="shared" si="82" ref="E131:J131">33800+200</f>
        <v>34000</v>
      </c>
      <c r="F131" s="30">
        <f t="shared" si="82"/>
        <v>34000</v>
      </c>
      <c r="G131" s="30">
        <f t="shared" si="82"/>
        <v>34000</v>
      </c>
      <c r="H131" s="30">
        <f t="shared" si="82"/>
        <v>34000</v>
      </c>
      <c r="I131" s="30">
        <f t="shared" si="82"/>
        <v>34000</v>
      </c>
      <c r="J131" s="30">
        <f t="shared" si="82"/>
        <v>34000</v>
      </c>
      <c r="K131" s="65">
        <v>37800</v>
      </c>
      <c r="L131" s="100">
        <f t="shared" si="52"/>
        <v>3800</v>
      </c>
      <c r="M131" s="101">
        <f t="shared" si="53"/>
        <v>1.111764705882353</v>
      </c>
      <c r="N131" s="101">
        <f t="shared" si="49"/>
        <v>0.8790697674418605</v>
      </c>
      <c r="O131" s="116">
        <f t="shared" si="50"/>
        <v>0.7906976744186046</v>
      </c>
    </row>
    <row r="132" spans="1:15" s="12" customFormat="1" ht="93">
      <c r="A132" s="37" t="s">
        <v>159</v>
      </c>
      <c r="B132" s="46" t="s">
        <v>35</v>
      </c>
      <c r="C132" s="88">
        <v>853000</v>
      </c>
      <c r="D132" s="30">
        <v>881000</v>
      </c>
      <c r="E132" s="30">
        <v>881000</v>
      </c>
      <c r="F132" s="30">
        <v>881000</v>
      </c>
      <c r="G132" s="30">
        <v>881000</v>
      </c>
      <c r="H132" s="30">
        <v>881000</v>
      </c>
      <c r="I132" s="30">
        <v>881000</v>
      </c>
      <c r="J132" s="30">
        <v>881000</v>
      </c>
      <c r="K132" s="65">
        <v>881000</v>
      </c>
      <c r="L132" s="100">
        <f t="shared" si="52"/>
        <v>0</v>
      </c>
      <c r="M132" s="101">
        <f t="shared" si="53"/>
        <v>1</v>
      </c>
      <c r="N132" s="101">
        <f t="shared" si="49"/>
        <v>1.032825322391559</v>
      </c>
      <c r="O132" s="116">
        <f t="shared" si="50"/>
        <v>1.032825322391559</v>
      </c>
    </row>
    <row r="133" spans="1:15" s="3" customFormat="1" ht="46.5">
      <c r="A133" s="37" t="s">
        <v>173</v>
      </c>
      <c r="B133" s="46" t="s">
        <v>35</v>
      </c>
      <c r="C133" s="79">
        <v>0</v>
      </c>
      <c r="D133" s="30">
        <f>36540+24357.44</f>
        <v>60897.44</v>
      </c>
      <c r="E133" s="30">
        <f aca="true" t="shared" si="83" ref="E133:J133">36540+24357.44</f>
        <v>60897.44</v>
      </c>
      <c r="F133" s="30">
        <f t="shared" si="83"/>
        <v>60897.44</v>
      </c>
      <c r="G133" s="30">
        <f t="shared" si="83"/>
        <v>60897.44</v>
      </c>
      <c r="H133" s="30">
        <f t="shared" si="83"/>
        <v>60897.44</v>
      </c>
      <c r="I133" s="30">
        <f t="shared" si="83"/>
        <v>60897.44</v>
      </c>
      <c r="J133" s="30">
        <f t="shared" si="83"/>
        <v>60897.44</v>
      </c>
      <c r="K133" s="65">
        <v>65278</v>
      </c>
      <c r="L133" s="100">
        <f t="shared" si="52"/>
        <v>4380.559999999998</v>
      </c>
      <c r="M133" s="101">
        <f t="shared" si="53"/>
        <v>1.0719334014697497</v>
      </c>
      <c r="N133" s="101">
        <v>0</v>
      </c>
      <c r="O133" s="116">
        <v>0</v>
      </c>
    </row>
    <row r="134" spans="1:15" s="3" customFormat="1" ht="46.5">
      <c r="A134" s="37" t="s">
        <v>174</v>
      </c>
      <c r="B134" s="46" t="s">
        <v>35</v>
      </c>
      <c r="C134" s="79">
        <v>0</v>
      </c>
      <c r="D134" s="30">
        <v>17620</v>
      </c>
      <c r="E134" s="30">
        <v>17620</v>
      </c>
      <c r="F134" s="30">
        <v>17620</v>
      </c>
      <c r="G134" s="30">
        <v>17620</v>
      </c>
      <c r="H134" s="30">
        <v>17620</v>
      </c>
      <c r="I134" s="30">
        <v>17620</v>
      </c>
      <c r="J134" s="30">
        <v>17620</v>
      </c>
      <c r="K134" s="65">
        <v>17620</v>
      </c>
      <c r="L134" s="100">
        <f t="shared" si="52"/>
        <v>0</v>
      </c>
      <c r="M134" s="101">
        <f t="shared" si="53"/>
        <v>1</v>
      </c>
      <c r="N134" s="101">
        <v>0</v>
      </c>
      <c r="O134" s="116">
        <v>0</v>
      </c>
    </row>
    <row r="135" spans="1:15" s="3" customFormat="1" ht="78">
      <c r="A135" s="37" t="s">
        <v>231</v>
      </c>
      <c r="B135" s="46" t="s">
        <v>35</v>
      </c>
      <c r="C135" s="79">
        <v>2020</v>
      </c>
      <c r="D135" s="30">
        <v>0</v>
      </c>
      <c r="E135" s="30">
        <v>0</v>
      </c>
      <c r="F135" s="30">
        <v>0</v>
      </c>
      <c r="G135" s="30">
        <v>0</v>
      </c>
      <c r="H135" s="30">
        <v>0</v>
      </c>
      <c r="I135" s="30">
        <v>0</v>
      </c>
      <c r="J135" s="30">
        <v>0</v>
      </c>
      <c r="K135" s="30">
        <v>0</v>
      </c>
      <c r="L135" s="30">
        <v>0</v>
      </c>
      <c r="M135" s="118">
        <v>0</v>
      </c>
      <c r="N135" s="101">
        <f t="shared" si="49"/>
        <v>0</v>
      </c>
      <c r="O135" s="116">
        <f t="shared" si="50"/>
        <v>0</v>
      </c>
    </row>
    <row r="136" spans="1:15" s="3" customFormat="1" ht="62.25">
      <c r="A136" s="37" t="s">
        <v>232</v>
      </c>
      <c r="B136" s="46" t="s">
        <v>35</v>
      </c>
      <c r="C136" s="79">
        <f>1363000-329500</f>
        <v>1033500</v>
      </c>
      <c r="D136" s="30">
        <v>0</v>
      </c>
      <c r="E136" s="30">
        <v>0</v>
      </c>
      <c r="F136" s="30">
        <v>0</v>
      </c>
      <c r="G136" s="30">
        <v>0</v>
      </c>
      <c r="H136" s="30">
        <v>0</v>
      </c>
      <c r="I136" s="30">
        <v>0</v>
      </c>
      <c r="J136" s="30">
        <v>0</v>
      </c>
      <c r="K136" s="30">
        <v>0</v>
      </c>
      <c r="L136" s="30">
        <v>0</v>
      </c>
      <c r="M136" s="118">
        <v>0</v>
      </c>
      <c r="N136" s="101">
        <f t="shared" si="49"/>
        <v>0</v>
      </c>
      <c r="O136" s="116">
        <f t="shared" si="50"/>
        <v>0</v>
      </c>
    </row>
    <row r="137" spans="1:15" s="3" customFormat="1" ht="15">
      <c r="A137" s="40" t="s">
        <v>126</v>
      </c>
      <c r="B137" s="47" t="s">
        <v>45</v>
      </c>
      <c r="C137" s="29">
        <f>C138+C140+C142</f>
        <v>17201000</v>
      </c>
      <c r="D137" s="29">
        <f>D138+D140</f>
        <v>1980</v>
      </c>
      <c r="E137" s="29">
        <f aca="true" t="shared" si="84" ref="E137:K137">E138+E140</f>
        <v>1980</v>
      </c>
      <c r="F137" s="29">
        <f t="shared" si="84"/>
        <v>1980</v>
      </c>
      <c r="G137" s="29">
        <f t="shared" si="84"/>
        <v>1980</v>
      </c>
      <c r="H137" s="29">
        <f t="shared" si="84"/>
        <v>1980</v>
      </c>
      <c r="I137" s="29">
        <f t="shared" si="84"/>
        <v>1980</v>
      </c>
      <c r="J137" s="29">
        <f t="shared" si="84"/>
        <v>1980</v>
      </c>
      <c r="K137" s="64">
        <f t="shared" si="84"/>
        <v>2140</v>
      </c>
      <c r="L137" s="102">
        <f t="shared" si="52"/>
        <v>160</v>
      </c>
      <c r="M137" s="103">
        <f t="shared" si="53"/>
        <v>1.0808080808080809</v>
      </c>
      <c r="N137" s="103">
        <f t="shared" si="49"/>
        <v>0.0001244113714318935</v>
      </c>
      <c r="O137" s="115">
        <f t="shared" si="50"/>
        <v>0.00011510958665193885</v>
      </c>
    </row>
    <row r="138" spans="1:15" s="3" customFormat="1" ht="46.5">
      <c r="A138" s="40" t="s">
        <v>36</v>
      </c>
      <c r="B138" s="47" t="s">
        <v>37</v>
      </c>
      <c r="C138" s="29">
        <f>C139</f>
        <v>16401000</v>
      </c>
      <c r="D138" s="29">
        <f>D139</f>
        <v>0</v>
      </c>
      <c r="E138" s="29">
        <f aca="true" t="shared" si="85" ref="E138:K138">E139</f>
        <v>0</v>
      </c>
      <c r="F138" s="29">
        <f t="shared" si="85"/>
        <v>0</v>
      </c>
      <c r="G138" s="29">
        <f t="shared" si="85"/>
        <v>0</v>
      </c>
      <c r="H138" s="29">
        <f t="shared" si="85"/>
        <v>0</v>
      </c>
      <c r="I138" s="29">
        <f t="shared" si="85"/>
        <v>0</v>
      </c>
      <c r="J138" s="29">
        <f t="shared" si="85"/>
        <v>0</v>
      </c>
      <c r="K138" s="64">
        <f t="shared" si="85"/>
        <v>0</v>
      </c>
      <c r="L138" s="102">
        <f t="shared" si="52"/>
        <v>0</v>
      </c>
      <c r="M138" s="103">
        <v>0</v>
      </c>
      <c r="N138" s="103">
        <f t="shared" si="49"/>
        <v>0</v>
      </c>
      <c r="O138" s="115">
        <f t="shared" si="50"/>
        <v>0</v>
      </c>
    </row>
    <row r="139" spans="1:15" ht="46.5">
      <c r="A139" s="52" t="s">
        <v>166</v>
      </c>
      <c r="B139" s="48" t="s">
        <v>38</v>
      </c>
      <c r="C139" s="30">
        <v>16401000</v>
      </c>
      <c r="D139" s="30">
        <f>7562000-7562000</f>
        <v>0</v>
      </c>
      <c r="E139" s="30">
        <f aca="true" t="shared" si="86" ref="E139:J139">7562000-7562000</f>
        <v>0</v>
      </c>
      <c r="F139" s="30">
        <f t="shared" si="86"/>
        <v>0</v>
      </c>
      <c r="G139" s="30">
        <f t="shared" si="86"/>
        <v>0</v>
      </c>
      <c r="H139" s="30">
        <f t="shared" si="86"/>
        <v>0</v>
      </c>
      <c r="I139" s="30">
        <f t="shared" si="86"/>
        <v>0</v>
      </c>
      <c r="J139" s="30">
        <f t="shared" si="86"/>
        <v>0</v>
      </c>
      <c r="K139" s="65">
        <v>0</v>
      </c>
      <c r="L139" s="100">
        <f t="shared" si="52"/>
        <v>0</v>
      </c>
      <c r="M139" s="101">
        <v>0</v>
      </c>
      <c r="N139" s="101">
        <f t="shared" si="49"/>
        <v>0</v>
      </c>
      <c r="O139" s="116">
        <f t="shared" si="50"/>
        <v>0</v>
      </c>
    </row>
    <row r="140" spans="1:30" s="1" customFormat="1" ht="78">
      <c r="A140" s="40" t="s">
        <v>165</v>
      </c>
      <c r="B140" s="47" t="s">
        <v>16</v>
      </c>
      <c r="C140" s="29">
        <f>C141</f>
        <v>0</v>
      </c>
      <c r="D140" s="29">
        <f>D141</f>
        <v>1980</v>
      </c>
      <c r="E140" s="29">
        <f aca="true" t="shared" si="87" ref="E140:K140">E141</f>
        <v>1980</v>
      </c>
      <c r="F140" s="29">
        <f t="shared" si="87"/>
        <v>1980</v>
      </c>
      <c r="G140" s="29">
        <f t="shared" si="87"/>
        <v>1980</v>
      </c>
      <c r="H140" s="29">
        <f t="shared" si="87"/>
        <v>1980</v>
      </c>
      <c r="I140" s="29">
        <f t="shared" si="87"/>
        <v>1980</v>
      </c>
      <c r="J140" s="29">
        <f t="shared" si="87"/>
        <v>1980</v>
      </c>
      <c r="K140" s="64">
        <f t="shared" si="87"/>
        <v>2140</v>
      </c>
      <c r="L140" s="102">
        <f t="shared" si="52"/>
        <v>160</v>
      </c>
      <c r="M140" s="103">
        <f t="shared" si="53"/>
        <v>1.0808080808080809</v>
      </c>
      <c r="N140" s="103">
        <v>0</v>
      </c>
      <c r="O140" s="115">
        <v>0</v>
      </c>
      <c r="P140" s="3"/>
      <c r="Q140" s="3"/>
      <c r="R140" s="3"/>
      <c r="S140" s="3"/>
      <c r="T140" s="3"/>
      <c r="U140" s="3"/>
      <c r="V140" s="3"/>
      <c r="W140" s="3"/>
      <c r="X140" s="3"/>
      <c r="Y140" s="3"/>
      <c r="Z140" s="3"/>
      <c r="AA140" s="3"/>
      <c r="AB140" s="3"/>
      <c r="AC140" s="3"/>
      <c r="AD140" s="3"/>
    </row>
    <row r="141" spans="1:15" ht="55.5" customHeight="1">
      <c r="A141" s="52" t="s">
        <v>125</v>
      </c>
      <c r="B141" s="48" t="s">
        <v>17</v>
      </c>
      <c r="C141" s="30">
        <v>0</v>
      </c>
      <c r="D141" s="30">
        <f>2200-220</f>
        <v>1980</v>
      </c>
      <c r="E141" s="30">
        <f aca="true" t="shared" si="88" ref="E141:J141">2200-220</f>
        <v>1980</v>
      </c>
      <c r="F141" s="30">
        <f t="shared" si="88"/>
        <v>1980</v>
      </c>
      <c r="G141" s="30">
        <f t="shared" si="88"/>
        <v>1980</v>
      </c>
      <c r="H141" s="30">
        <f t="shared" si="88"/>
        <v>1980</v>
      </c>
      <c r="I141" s="30">
        <f t="shared" si="88"/>
        <v>1980</v>
      </c>
      <c r="J141" s="30">
        <f t="shared" si="88"/>
        <v>1980</v>
      </c>
      <c r="K141" s="65">
        <v>2140</v>
      </c>
      <c r="L141" s="100">
        <f t="shared" si="52"/>
        <v>160</v>
      </c>
      <c r="M141" s="101">
        <f t="shared" si="53"/>
        <v>1.0808080808080809</v>
      </c>
      <c r="N141" s="101">
        <v>0</v>
      </c>
      <c r="O141" s="116">
        <v>0</v>
      </c>
    </row>
    <row r="142" spans="1:15" ht="55.5" customHeight="1">
      <c r="A142" s="52" t="s">
        <v>233</v>
      </c>
      <c r="B142" s="46" t="s">
        <v>234</v>
      </c>
      <c r="C142" s="30">
        <v>800000</v>
      </c>
      <c r="D142" s="30">
        <v>0</v>
      </c>
      <c r="E142" s="30">
        <v>0</v>
      </c>
      <c r="F142" s="30">
        <v>0</v>
      </c>
      <c r="G142" s="30">
        <v>0</v>
      </c>
      <c r="H142" s="30">
        <v>0</v>
      </c>
      <c r="I142" s="30">
        <v>0</v>
      </c>
      <c r="J142" s="30">
        <v>0</v>
      </c>
      <c r="K142" s="30">
        <v>0</v>
      </c>
      <c r="L142" s="30">
        <v>0</v>
      </c>
      <c r="M142" s="118">
        <v>0</v>
      </c>
      <c r="N142" s="101">
        <f t="shared" si="49"/>
        <v>0</v>
      </c>
      <c r="O142" s="116">
        <f t="shared" si="50"/>
        <v>0</v>
      </c>
    </row>
    <row r="143" spans="1:30" s="1" customFormat="1" ht="61.5" customHeight="1">
      <c r="A143" s="119" t="s">
        <v>239</v>
      </c>
      <c r="B143" s="45" t="s">
        <v>237</v>
      </c>
      <c r="C143" s="29">
        <v>22606033.32</v>
      </c>
      <c r="D143" s="29">
        <v>0</v>
      </c>
      <c r="E143" s="29"/>
      <c r="F143" s="29"/>
      <c r="G143" s="29"/>
      <c r="H143" s="29"/>
      <c r="I143" s="29"/>
      <c r="J143" s="29"/>
      <c r="K143" s="29">
        <v>0</v>
      </c>
      <c r="L143" s="29">
        <v>0</v>
      </c>
      <c r="M143" s="120">
        <v>0</v>
      </c>
      <c r="N143" s="103">
        <f t="shared" si="49"/>
        <v>0</v>
      </c>
      <c r="O143" s="115">
        <f t="shared" si="50"/>
        <v>0</v>
      </c>
      <c r="P143" s="3"/>
      <c r="Q143" s="3"/>
      <c r="R143" s="3"/>
      <c r="S143" s="3"/>
      <c r="T143" s="3"/>
      <c r="U143" s="3"/>
      <c r="V143" s="3"/>
      <c r="W143" s="3"/>
      <c r="X143" s="3"/>
      <c r="Y143" s="3"/>
      <c r="Z143" s="3"/>
      <c r="AA143" s="3"/>
      <c r="AB143" s="3"/>
      <c r="AC143" s="3"/>
      <c r="AD143" s="3"/>
    </row>
    <row r="144" spans="1:30" s="1" customFormat="1" ht="55.5" customHeight="1">
      <c r="A144" s="119" t="s">
        <v>240</v>
      </c>
      <c r="B144" s="45" t="s">
        <v>238</v>
      </c>
      <c r="C144" s="29">
        <v>-1120357.41</v>
      </c>
      <c r="D144" s="29">
        <v>0</v>
      </c>
      <c r="E144" s="29"/>
      <c r="F144" s="29"/>
      <c r="G144" s="29"/>
      <c r="H144" s="29"/>
      <c r="I144" s="29"/>
      <c r="J144" s="29"/>
      <c r="K144" s="29">
        <v>0</v>
      </c>
      <c r="L144" s="29">
        <v>0</v>
      </c>
      <c r="M144" s="120">
        <v>0</v>
      </c>
      <c r="N144" s="103">
        <f t="shared" si="49"/>
        <v>0</v>
      </c>
      <c r="O144" s="115">
        <f t="shared" si="50"/>
        <v>0</v>
      </c>
      <c r="P144" s="3"/>
      <c r="Q144" s="3"/>
      <c r="R144" s="3"/>
      <c r="S144" s="3"/>
      <c r="T144" s="3"/>
      <c r="U144" s="3"/>
      <c r="V144" s="3"/>
      <c r="W144" s="3"/>
      <c r="X144" s="3"/>
      <c r="Y144" s="3"/>
      <c r="Z144" s="3"/>
      <c r="AA144" s="3"/>
      <c r="AB144" s="3"/>
      <c r="AC144" s="3"/>
      <c r="AD144" s="3"/>
    </row>
    <row r="145" spans="1:15" s="3" customFormat="1" ht="15">
      <c r="A145" s="54" t="s">
        <v>49</v>
      </c>
      <c r="B145" s="47"/>
      <c r="C145" s="29">
        <f>C86+C87</f>
        <v>439152878.31999993</v>
      </c>
      <c r="D145" s="29">
        <f>D86+D87</f>
        <v>375035996.44</v>
      </c>
      <c r="E145" s="29">
        <f aca="true" t="shared" si="89" ref="E145:K145">E86+E87</f>
        <v>375036012.44</v>
      </c>
      <c r="F145" s="29">
        <f t="shared" si="89"/>
        <v>375036028.44</v>
      </c>
      <c r="G145" s="29">
        <f t="shared" si="89"/>
        <v>375036044.44</v>
      </c>
      <c r="H145" s="29">
        <f t="shared" si="89"/>
        <v>375036060.44</v>
      </c>
      <c r="I145" s="29">
        <f t="shared" si="89"/>
        <v>375036076.44</v>
      </c>
      <c r="J145" s="29">
        <f t="shared" si="89"/>
        <v>375036092.44</v>
      </c>
      <c r="K145" s="64">
        <f t="shared" si="89"/>
        <v>371120768</v>
      </c>
      <c r="L145" s="102">
        <f t="shared" si="52"/>
        <v>-3915228.4399999976</v>
      </c>
      <c r="M145" s="103">
        <f t="shared" si="53"/>
        <v>0.9895603929298388</v>
      </c>
      <c r="N145" s="103">
        <f t="shared" si="49"/>
        <v>0.8450833099847598</v>
      </c>
      <c r="O145" s="115">
        <f t="shared" si="50"/>
        <v>0.8539987210711629</v>
      </c>
    </row>
    <row r="146" spans="5:10" ht="57.75" customHeight="1">
      <c r="E146" s="10"/>
      <c r="F146" s="17"/>
      <c r="G146" s="3"/>
      <c r="H146" s="3"/>
      <c r="J146" s="17"/>
    </row>
    <row r="147" ht="12.75">
      <c r="D147" s="51"/>
    </row>
    <row r="155" spans="9:11" ht="12.75">
      <c r="I155" s="3"/>
      <c r="K155" s="58"/>
    </row>
    <row r="156" spans="9:11" ht="12.75">
      <c r="I156" s="3"/>
      <c r="K156" s="58"/>
    </row>
    <row r="157" spans="1:15" s="3" customFormat="1" ht="12.75">
      <c r="A157" s="24"/>
      <c r="B157" s="49"/>
      <c r="C157" s="87"/>
      <c r="D157" s="50"/>
      <c r="E157" s="6"/>
      <c r="F157" s="16"/>
      <c r="G157" s="2"/>
      <c r="H157" s="2"/>
      <c r="I157" s="5"/>
      <c r="J157" s="16"/>
      <c r="K157" s="59"/>
      <c r="L157" s="68"/>
      <c r="M157" s="68"/>
      <c r="O157" s="112"/>
    </row>
    <row r="158" spans="1:15" s="3" customFormat="1" ht="12.75">
      <c r="A158" s="24"/>
      <c r="B158" s="49"/>
      <c r="C158" s="87"/>
      <c r="D158" s="50"/>
      <c r="E158" s="7"/>
      <c r="F158" s="17"/>
      <c r="J158" s="17"/>
      <c r="K158" s="58"/>
      <c r="L158" s="68"/>
      <c r="M158" s="68"/>
      <c r="O158" s="112"/>
    </row>
    <row r="159" spans="1:15" s="5" customFormat="1" ht="12.75">
      <c r="A159" s="24"/>
      <c r="B159" s="49"/>
      <c r="C159" s="87"/>
      <c r="D159" s="50"/>
      <c r="E159" s="8"/>
      <c r="F159" s="17"/>
      <c r="G159" s="3"/>
      <c r="H159" s="3"/>
      <c r="J159" s="17"/>
      <c r="K159" s="59"/>
      <c r="L159" s="67"/>
      <c r="M159" s="67"/>
      <c r="O159" s="113"/>
    </row>
    <row r="160" spans="1:15" s="3" customFormat="1" ht="12.75">
      <c r="A160" s="24"/>
      <c r="B160" s="49"/>
      <c r="C160" s="87"/>
      <c r="D160" s="50"/>
      <c r="E160" s="6"/>
      <c r="F160" s="18"/>
      <c r="G160" s="5"/>
      <c r="H160" s="5"/>
      <c r="J160" s="18"/>
      <c r="K160" s="58"/>
      <c r="L160" s="68"/>
      <c r="M160" s="68"/>
      <c r="O160" s="112"/>
    </row>
    <row r="161" spans="1:15" s="5" customFormat="1" ht="12.75">
      <c r="A161" s="24"/>
      <c r="B161" s="49"/>
      <c r="C161" s="87"/>
      <c r="D161" s="50"/>
      <c r="E161" s="8"/>
      <c r="F161" s="17"/>
      <c r="G161" s="3"/>
      <c r="H161" s="3"/>
      <c r="J161" s="17"/>
      <c r="K161" s="59"/>
      <c r="L161" s="67"/>
      <c r="M161" s="67"/>
      <c r="O161" s="113"/>
    </row>
    <row r="162" spans="1:15" s="3" customFormat="1" ht="12.75">
      <c r="A162" s="24"/>
      <c r="B162" s="49"/>
      <c r="C162" s="87"/>
      <c r="D162" s="50"/>
      <c r="E162" s="6"/>
      <c r="F162" s="18"/>
      <c r="G162" s="5"/>
      <c r="H162" s="5"/>
      <c r="I162" s="5"/>
      <c r="J162" s="18"/>
      <c r="K162" s="59"/>
      <c r="L162" s="68"/>
      <c r="M162" s="68"/>
      <c r="O162" s="112"/>
    </row>
    <row r="163" spans="1:15" s="5" customFormat="1" ht="12.75">
      <c r="A163" s="24"/>
      <c r="B163" s="49"/>
      <c r="C163" s="87"/>
      <c r="D163" s="50"/>
      <c r="E163" s="8"/>
      <c r="F163" s="17"/>
      <c r="G163" s="3"/>
      <c r="H163" s="3"/>
      <c r="J163" s="17"/>
      <c r="K163" s="59"/>
      <c r="L163" s="67"/>
      <c r="M163" s="67"/>
      <c r="O163" s="113"/>
    </row>
    <row r="164" spans="1:15" s="5" customFormat="1" ht="15">
      <c r="A164" s="24"/>
      <c r="B164" s="49"/>
      <c r="C164" s="87"/>
      <c r="D164" s="50"/>
      <c r="E164" s="6"/>
      <c r="F164" s="18"/>
      <c r="I164" s="4"/>
      <c r="J164" s="18"/>
      <c r="K164" s="60"/>
      <c r="L164" s="67"/>
      <c r="M164" s="67"/>
      <c r="O164" s="113"/>
    </row>
    <row r="165" spans="1:15" s="5" customFormat="1" ht="12.75">
      <c r="A165" s="24"/>
      <c r="B165" s="49"/>
      <c r="C165" s="87"/>
      <c r="D165" s="50"/>
      <c r="E165" s="9"/>
      <c r="F165" s="18"/>
      <c r="I165" s="2"/>
      <c r="J165" s="18"/>
      <c r="K165" s="57"/>
      <c r="L165" s="67"/>
      <c r="M165" s="67"/>
      <c r="O165" s="113"/>
    </row>
    <row r="166" spans="1:15" s="4" customFormat="1" ht="15">
      <c r="A166" s="24"/>
      <c r="B166" s="49"/>
      <c r="C166" s="87"/>
      <c r="D166" s="50"/>
      <c r="E166" s="9"/>
      <c r="F166" s="18"/>
      <c r="G166" s="5"/>
      <c r="H166" s="5"/>
      <c r="I166" s="2"/>
      <c r="J166" s="18"/>
      <c r="K166" s="57"/>
      <c r="L166" s="69"/>
      <c r="M166" s="69"/>
      <c r="O166" s="114"/>
    </row>
    <row r="167" spans="5:10" ht="15">
      <c r="E167" s="7"/>
      <c r="F167" s="19"/>
      <c r="G167" s="4"/>
      <c r="H167" s="4"/>
      <c r="J167" s="19"/>
    </row>
  </sheetData>
  <sheetProtection/>
  <autoFilter ref="A10:AD147"/>
  <mergeCells count="6">
    <mergeCell ref="B1:D1"/>
    <mergeCell ref="A7:D7"/>
    <mergeCell ref="B4:D4"/>
    <mergeCell ref="B5:D5"/>
    <mergeCell ref="A2:G2"/>
    <mergeCell ref="A3:G3"/>
  </mergeCells>
  <printOptions/>
  <pageMargins left="0.7874015748031497" right="0.2755905511811024" top="0.3937007874015748" bottom="0.2755905511811024" header="0.5118110236220472" footer="0.15748031496062992"/>
  <pageSetup fitToHeight="0" fitToWidth="1" horizontalDpi="600" verticalDpi="600" orientation="portrait" paperSize="9" scale="45"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Андрей</cp:lastModifiedBy>
  <cp:lastPrinted>2015-09-30T08:31:56Z</cp:lastPrinted>
  <dcterms:created xsi:type="dcterms:W3CDTF">2002-10-10T06:25:05Z</dcterms:created>
  <dcterms:modified xsi:type="dcterms:W3CDTF">2016-01-12T22:01:24Z</dcterms:modified>
  <cp:category/>
  <cp:version/>
  <cp:contentType/>
  <cp:contentStatus/>
</cp:coreProperties>
</file>