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4370" windowHeight="12360"/>
  </bookViews>
  <sheets>
    <sheet name="на 01.01.2020" sheetId="1" r:id="rId1"/>
  </sheets>
  <definedNames>
    <definedName name="_xlnm.Print_Area" localSheetId="0">'на 01.01.2020'!$A$1:$S$217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2" i="1" l="1"/>
  <c r="H202" i="1"/>
  <c r="I202" i="1"/>
  <c r="J202" i="1"/>
  <c r="K202" i="1"/>
  <c r="L202" i="1"/>
  <c r="M202" i="1"/>
  <c r="N202" i="1"/>
  <c r="O202" i="1"/>
  <c r="P202" i="1"/>
  <c r="Q202" i="1"/>
  <c r="R202" i="1"/>
  <c r="S202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4" i="1" l="1"/>
  <c r="S207" i="1"/>
  <c r="G199" i="1" l="1"/>
  <c r="G200" i="1" s="1"/>
  <c r="S169" i="1"/>
  <c r="S168" i="1"/>
  <c r="S161" i="1"/>
  <c r="R161" i="1"/>
  <c r="O148" i="1"/>
  <c r="P148" i="1" s="1"/>
  <c r="Q148" i="1" s="1"/>
  <c r="R148" i="1" s="1"/>
  <c r="S148" i="1" s="1"/>
  <c r="N164" i="1"/>
  <c r="O164" i="1" s="1"/>
  <c r="P164" i="1" s="1"/>
  <c r="Q164" i="1" s="1"/>
  <c r="R164" i="1" s="1"/>
  <c r="S164" i="1" s="1"/>
  <c r="L181" i="1"/>
  <c r="M181" i="1" s="1"/>
  <c r="N181" i="1" s="1"/>
  <c r="O181" i="1" s="1"/>
  <c r="P181" i="1" s="1"/>
  <c r="Q181" i="1" s="1"/>
  <c r="R181" i="1" s="1"/>
  <c r="S181" i="1" s="1"/>
  <c r="L171" i="1"/>
  <c r="M171" i="1" s="1"/>
  <c r="N171" i="1" s="1"/>
  <c r="O171" i="1" s="1"/>
  <c r="P171" i="1" s="1"/>
  <c r="Q171" i="1" s="1"/>
  <c r="R171" i="1" s="1"/>
  <c r="S171" i="1" s="1"/>
  <c r="L170" i="1"/>
  <c r="M170" i="1" s="1"/>
  <c r="N170" i="1" s="1"/>
  <c r="O170" i="1" s="1"/>
  <c r="P170" i="1" s="1"/>
  <c r="Q170" i="1" s="1"/>
  <c r="R170" i="1" s="1"/>
  <c r="S170" i="1" s="1"/>
  <c r="L162" i="1"/>
  <c r="M162" i="1" s="1"/>
  <c r="N162" i="1" s="1"/>
  <c r="O162" i="1" s="1"/>
  <c r="P162" i="1" s="1"/>
  <c r="L158" i="1"/>
  <c r="M158" i="1" s="1"/>
  <c r="N158" i="1" s="1"/>
  <c r="O158" i="1" s="1"/>
  <c r="P158" i="1" s="1"/>
  <c r="Q158" i="1" s="1"/>
  <c r="R158" i="1" s="1"/>
  <c r="S158" i="1" s="1"/>
  <c r="K164" i="1"/>
  <c r="L164" i="1" s="1"/>
  <c r="M164" i="1" s="1"/>
  <c r="J195" i="1"/>
  <c r="K195" i="1" s="1"/>
  <c r="L195" i="1" s="1"/>
  <c r="M195" i="1" s="1"/>
  <c r="N195" i="1" s="1"/>
  <c r="O195" i="1" s="1"/>
  <c r="P195" i="1" s="1"/>
  <c r="Q195" i="1" s="1"/>
  <c r="R195" i="1" s="1"/>
  <c r="S195" i="1" s="1"/>
  <c r="I192" i="1"/>
  <c r="J192" i="1" s="1"/>
  <c r="K192" i="1" s="1"/>
  <c r="J175" i="1"/>
  <c r="K175" i="1" s="1"/>
  <c r="L175" i="1" s="1"/>
  <c r="M175" i="1" s="1"/>
  <c r="N175" i="1" s="1"/>
  <c r="O175" i="1" s="1"/>
  <c r="P175" i="1" s="1"/>
  <c r="Q175" i="1" s="1"/>
  <c r="R175" i="1" s="1"/>
  <c r="S175" i="1" s="1"/>
  <c r="J174" i="1"/>
  <c r="K174" i="1" s="1"/>
  <c r="L174" i="1" s="1"/>
  <c r="M174" i="1" s="1"/>
  <c r="N174" i="1" s="1"/>
  <c r="O174" i="1" s="1"/>
  <c r="P174" i="1" s="1"/>
  <c r="Q174" i="1" s="1"/>
  <c r="R174" i="1" s="1"/>
  <c r="S174" i="1" s="1"/>
  <c r="J165" i="1"/>
  <c r="K165" i="1" s="1"/>
  <c r="L165" i="1" s="1"/>
  <c r="M165" i="1" s="1"/>
  <c r="N165" i="1" s="1"/>
  <c r="O165" i="1" s="1"/>
  <c r="P165" i="1" s="1"/>
  <c r="Q165" i="1" s="1"/>
  <c r="R165" i="1" s="1"/>
  <c r="S165" i="1" s="1"/>
  <c r="J159" i="1"/>
  <c r="I198" i="1"/>
  <c r="J198" i="1" s="1"/>
  <c r="K198" i="1" s="1"/>
  <c r="I197" i="1"/>
  <c r="J197" i="1" s="1"/>
  <c r="K197" i="1" s="1"/>
  <c r="I196" i="1"/>
  <c r="J196" i="1" s="1"/>
  <c r="K196" i="1" s="1"/>
  <c r="L196" i="1" s="1"/>
  <c r="M196" i="1" s="1"/>
  <c r="N196" i="1" s="1"/>
  <c r="O196" i="1" s="1"/>
  <c r="P196" i="1" s="1"/>
  <c r="Q196" i="1" s="1"/>
  <c r="R196" i="1" s="1"/>
  <c r="S196" i="1" s="1"/>
  <c r="I195" i="1"/>
  <c r="I194" i="1"/>
  <c r="J194" i="1" s="1"/>
  <c r="K194" i="1" s="1"/>
  <c r="L194" i="1" s="1"/>
  <c r="M194" i="1" s="1"/>
  <c r="N194" i="1" s="1"/>
  <c r="O194" i="1" s="1"/>
  <c r="P194" i="1" s="1"/>
  <c r="I193" i="1"/>
  <c r="J193" i="1" s="1"/>
  <c r="K193" i="1" s="1"/>
  <c r="L193" i="1" s="1"/>
  <c r="M193" i="1" s="1"/>
  <c r="N193" i="1" s="1"/>
  <c r="O193" i="1" s="1"/>
  <c r="P193" i="1" s="1"/>
  <c r="Q193" i="1" s="1"/>
  <c r="R193" i="1" s="1"/>
  <c r="S193" i="1" s="1"/>
  <c r="I191" i="1"/>
  <c r="J191" i="1" s="1"/>
  <c r="K191" i="1" s="1"/>
  <c r="I190" i="1"/>
  <c r="J190" i="1" s="1"/>
  <c r="K190" i="1" s="1"/>
  <c r="L190" i="1" s="1"/>
  <c r="M190" i="1" s="1"/>
  <c r="N190" i="1" s="1"/>
  <c r="O190" i="1" s="1"/>
  <c r="P190" i="1" s="1"/>
  <c r="Q190" i="1" s="1"/>
  <c r="I189" i="1"/>
  <c r="J189" i="1" s="1"/>
  <c r="K189" i="1" s="1"/>
  <c r="L189" i="1" s="1"/>
  <c r="M189" i="1" s="1"/>
  <c r="N189" i="1" s="1"/>
  <c r="O189" i="1" s="1"/>
  <c r="P189" i="1" s="1"/>
  <c r="Q189" i="1" s="1"/>
  <c r="R189" i="1" s="1"/>
  <c r="S189" i="1" s="1"/>
  <c r="I188" i="1"/>
  <c r="J188" i="1" s="1"/>
  <c r="K188" i="1" s="1"/>
  <c r="L188" i="1" s="1"/>
  <c r="M188" i="1" s="1"/>
  <c r="N188" i="1" s="1"/>
  <c r="O188" i="1" s="1"/>
  <c r="P188" i="1" s="1"/>
  <c r="Q188" i="1" s="1"/>
  <c r="R188" i="1" s="1"/>
  <c r="S188" i="1" s="1"/>
  <c r="I187" i="1"/>
  <c r="J187" i="1" s="1"/>
  <c r="I186" i="1"/>
  <c r="J186" i="1" s="1"/>
  <c r="K186" i="1" s="1"/>
  <c r="L186" i="1" s="1"/>
  <c r="M186" i="1" s="1"/>
  <c r="N186" i="1" s="1"/>
  <c r="O186" i="1" s="1"/>
  <c r="P186" i="1" s="1"/>
  <c r="Q186" i="1" s="1"/>
  <c r="R186" i="1" s="1"/>
  <c r="S186" i="1" s="1"/>
  <c r="I185" i="1"/>
  <c r="J185" i="1" s="1"/>
  <c r="K185" i="1" s="1"/>
  <c r="L185" i="1" s="1"/>
  <c r="M185" i="1" s="1"/>
  <c r="N185" i="1" s="1"/>
  <c r="O185" i="1" s="1"/>
  <c r="P185" i="1" s="1"/>
  <c r="Q185" i="1" s="1"/>
  <c r="R185" i="1" s="1"/>
  <c r="S185" i="1" s="1"/>
  <c r="I184" i="1"/>
  <c r="J184" i="1" s="1"/>
  <c r="K184" i="1" s="1"/>
  <c r="L184" i="1" s="1"/>
  <c r="M184" i="1" s="1"/>
  <c r="N184" i="1" s="1"/>
  <c r="O184" i="1" s="1"/>
  <c r="P184" i="1" s="1"/>
  <c r="Q184" i="1" s="1"/>
  <c r="R184" i="1" s="1"/>
  <c r="S184" i="1" s="1"/>
  <c r="I183" i="1"/>
  <c r="J183" i="1" s="1"/>
  <c r="K183" i="1" s="1"/>
  <c r="L183" i="1" s="1"/>
  <c r="M183" i="1" s="1"/>
  <c r="N183" i="1" s="1"/>
  <c r="O183" i="1" s="1"/>
  <c r="P183" i="1" s="1"/>
  <c r="Q183" i="1" s="1"/>
  <c r="R183" i="1" s="1"/>
  <c r="S183" i="1" s="1"/>
  <c r="I182" i="1"/>
  <c r="J182" i="1" s="1"/>
  <c r="K182" i="1" s="1"/>
  <c r="L182" i="1" s="1"/>
  <c r="M182" i="1" s="1"/>
  <c r="N182" i="1" s="1"/>
  <c r="O182" i="1" s="1"/>
  <c r="P182" i="1" s="1"/>
  <c r="Q182" i="1" s="1"/>
  <c r="R182" i="1" s="1"/>
  <c r="S182" i="1" s="1"/>
  <c r="I181" i="1"/>
  <c r="J181" i="1" s="1"/>
  <c r="K181" i="1" s="1"/>
  <c r="I180" i="1"/>
  <c r="J180" i="1" s="1"/>
  <c r="K180" i="1" s="1"/>
  <c r="L180" i="1" s="1"/>
  <c r="M180" i="1" s="1"/>
  <c r="N180" i="1" s="1"/>
  <c r="O180" i="1" s="1"/>
  <c r="P180" i="1" s="1"/>
  <c r="Q180" i="1" s="1"/>
  <c r="R180" i="1" s="1"/>
  <c r="S180" i="1" s="1"/>
  <c r="I179" i="1"/>
  <c r="J179" i="1" s="1"/>
  <c r="K179" i="1" s="1"/>
  <c r="L179" i="1" s="1"/>
  <c r="M179" i="1" s="1"/>
  <c r="N179" i="1" s="1"/>
  <c r="O179" i="1" s="1"/>
  <c r="P179" i="1" s="1"/>
  <c r="Q179" i="1" s="1"/>
  <c r="R179" i="1" s="1"/>
  <c r="S179" i="1" s="1"/>
  <c r="I178" i="1"/>
  <c r="J178" i="1" s="1"/>
  <c r="K178" i="1" s="1"/>
  <c r="L178" i="1" s="1"/>
  <c r="M178" i="1" s="1"/>
  <c r="N178" i="1" s="1"/>
  <c r="O178" i="1" s="1"/>
  <c r="P178" i="1" s="1"/>
  <c r="Q178" i="1" s="1"/>
  <c r="R178" i="1" s="1"/>
  <c r="S178" i="1" s="1"/>
  <c r="I177" i="1"/>
  <c r="J177" i="1" s="1"/>
  <c r="K177" i="1" s="1"/>
  <c r="L177" i="1" s="1"/>
  <c r="M177" i="1" s="1"/>
  <c r="N177" i="1" s="1"/>
  <c r="O177" i="1" s="1"/>
  <c r="P177" i="1" s="1"/>
  <c r="Q177" i="1" s="1"/>
  <c r="R177" i="1" s="1"/>
  <c r="S177" i="1" s="1"/>
  <c r="I176" i="1"/>
  <c r="J176" i="1" s="1"/>
  <c r="K176" i="1" s="1"/>
  <c r="L176" i="1" s="1"/>
  <c r="M176" i="1" s="1"/>
  <c r="N176" i="1" s="1"/>
  <c r="O176" i="1" s="1"/>
  <c r="P176" i="1" s="1"/>
  <c r="Q176" i="1" s="1"/>
  <c r="R176" i="1" s="1"/>
  <c r="S176" i="1" s="1"/>
  <c r="I175" i="1"/>
  <c r="I174" i="1"/>
  <c r="I173" i="1"/>
  <c r="J173" i="1" s="1"/>
  <c r="K173" i="1" s="1"/>
  <c r="L173" i="1" s="1"/>
  <c r="M173" i="1" s="1"/>
  <c r="N173" i="1" s="1"/>
  <c r="O173" i="1" s="1"/>
  <c r="P173" i="1" s="1"/>
  <c r="Q173" i="1" s="1"/>
  <c r="R173" i="1" s="1"/>
  <c r="S173" i="1" s="1"/>
  <c r="I172" i="1"/>
  <c r="J172" i="1" s="1"/>
  <c r="K172" i="1" s="1"/>
  <c r="L172" i="1" s="1"/>
  <c r="M172" i="1" s="1"/>
  <c r="N172" i="1" s="1"/>
  <c r="O172" i="1" s="1"/>
  <c r="P172" i="1" s="1"/>
  <c r="Q172" i="1" s="1"/>
  <c r="R172" i="1" s="1"/>
  <c r="S172" i="1" s="1"/>
  <c r="I171" i="1"/>
  <c r="J171" i="1" s="1"/>
  <c r="K171" i="1" s="1"/>
  <c r="I170" i="1"/>
  <c r="J170" i="1" s="1"/>
  <c r="K170" i="1" s="1"/>
  <c r="I167" i="1"/>
  <c r="J167" i="1" s="1"/>
  <c r="K167" i="1" s="1"/>
  <c r="L167" i="1" s="1"/>
  <c r="M167" i="1" s="1"/>
  <c r="N167" i="1" s="1"/>
  <c r="O167" i="1" s="1"/>
  <c r="P167" i="1" s="1"/>
  <c r="Q167" i="1" s="1"/>
  <c r="R167" i="1" s="1"/>
  <c r="S167" i="1" s="1"/>
  <c r="I166" i="1"/>
  <c r="J166" i="1" s="1"/>
  <c r="K166" i="1" s="1"/>
  <c r="L166" i="1" s="1"/>
  <c r="M166" i="1" s="1"/>
  <c r="N166" i="1" s="1"/>
  <c r="O166" i="1" s="1"/>
  <c r="P166" i="1" s="1"/>
  <c r="Q166" i="1" s="1"/>
  <c r="R166" i="1" s="1"/>
  <c r="S166" i="1" s="1"/>
  <c r="I165" i="1"/>
  <c r="I163" i="1"/>
  <c r="J163" i="1" s="1"/>
  <c r="K163" i="1" s="1"/>
  <c r="L163" i="1" s="1"/>
  <c r="M163" i="1" s="1"/>
  <c r="N163" i="1" s="1"/>
  <c r="O163" i="1" s="1"/>
  <c r="P163" i="1" s="1"/>
  <c r="Q163" i="1" s="1"/>
  <c r="R163" i="1" s="1"/>
  <c r="S163" i="1" s="1"/>
  <c r="I160" i="1"/>
  <c r="J160" i="1" s="1"/>
  <c r="K160" i="1" s="1"/>
  <c r="L160" i="1" s="1"/>
  <c r="M160" i="1" s="1"/>
  <c r="N160" i="1" s="1"/>
  <c r="O160" i="1" s="1"/>
  <c r="P160" i="1" s="1"/>
  <c r="Q160" i="1" s="1"/>
  <c r="R160" i="1" s="1"/>
  <c r="S160" i="1" s="1"/>
  <c r="I159" i="1"/>
  <c r="I158" i="1"/>
  <c r="J158" i="1" s="1"/>
  <c r="K158" i="1" s="1"/>
  <c r="I157" i="1"/>
  <c r="O157" i="1" s="1"/>
  <c r="P157" i="1" s="1"/>
  <c r="Q157" i="1" s="1"/>
  <c r="R157" i="1" s="1"/>
  <c r="S157" i="1" s="1"/>
  <c r="I156" i="1"/>
  <c r="J156" i="1" s="1"/>
  <c r="K156" i="1" s="1"/>
  <c r="L156" i="1" s="1"/>
  <c r="M156" i="1" s="1"/>
  <c r="N156" i="1" s="1"/>
  <c r="O156" i="1" s="1"/>
  <c r="P156" i="1" s="1"/>
  <c r="Q156" i="1" s="1"/>
  <c r="R156" i="1" s="1"/>
  <c r="S156" i="1" s="1"/>
  <c r="I155" i="1"/>
  <c r="J155" i="1" s="1"/>
  <c r="K155" i="1" s="1"/>
  <c r="L155" i="1" s="1"/>
  <c r="M155" i="1" s="1"/>
  <c r="N155" i="1" s="1"/>
  <c r="O155" i="1" s="1"/>
  <c r="P155" i="1" s="1"/>
  <c r="Q155" i="1" s="1"/>
  <c r="R155" i="1" s="1"/>
  <c r="S155" i="1" s="1"/>
  <c r="I154" i="1"/>
  <c r="J154" i="1" s="1"/>
  <c r="K154" i="1" s="1"/>
  <c r="L154" i="1" s="1"/>
  <c r="M154" i="1" s="1"/>
  <c r="N154" i="1" s="1"/>
  <c r="O154" i="1" s="1"/>
  <c r="P154" i="1" s="1"/>
  <c r="Q154" i="1" s="1"/>
  <c r="R154" i="1" s="1"/>
  <c r="S154" i="1" s="1"/>
  <c r="I153" i="1"/>
  <c r="J153" i="1" s="1"/>
  <c r="K153" i="1" s="1"/>
  <c r="L153" i="1" s="1"/>
  <c r="M153" i="1" s="1"/>
  <c r="N153" i="1" s="1"/>
  <c r="O153" i="1" s="1"/>
  <c r="P153" i="1" s="1"/>
  <c r="Q153" i="1" s="1"/>
  <c r="R153" i="1" s="1"/>
  <c r="S153" i="1" s="1"/>
  <c r="I152" i="1"/>
  <c r="J152" i="1" s="1"/>
  <c r="K152" i="1" s="1"/>
  <c r="L152" i="1" s="1"/>
  <c r="M152" i="1" s="1"/>
  <c r="N152" i="1" s="1"/>
  <c r="O152" i="1" s="1"/>
  <c r="P152" i="1" s="1"/>
  <c r="Q152" i="1" s="1"/>
  <c r="R152" i="1" s="1"/>
  <c r="S152" i="1" s="1"/>
  <c r="I151" i="1"/>
  <c r="J151" i="1" s="1"/>
  <c r="K151" i="1" s="1"/>
  <c r="L151" i="1" s="1"/>
  <c r="M151" i="1" s="1"/>
  <c r="N151" i="1" s="1"/>
  <c r="O151" i="1" s="1"/>
  <c r="P151" i="1" s="1"/>
  <c r="Q151" i="1" s="1"/>
  <c r="R151" i="1" s="1"/>
  <c r="S151" i="1" s="1"/>
  <c r="I148" i="1"/>
  <c r="J148" i="1" s="1"/>
  <c r="K148" i="1" s="1"/>
  <c r="L148" i="1" s="1"/>
  <c r="M148" i="1" s="1"/>
  <c r="N148" i="1" s="1"/>
  <c r="I147" i="1"/>
  <c r="J147" i="1" s="1"/>
  <c r="K147" i="1" s="1"/>
  <c r="L147" i="1" s="1"/>
  <c r="M147" i="1" s="1"/>
  <c r="N147" i="1" s="1"/>
  <c r="O147" i="1" s="1"/>
  <c r="P147" i="1" s="1"/>
  <c r="Q147" i="1" s="1"/>
  <c r="R147" i="1" s="1"/>
  <c r="S147" i="1" s="1"/>
  <c r="I146" i="1"/>
  <c r="J146" i="1" s="1"/>
  <c r="K146" i="1" s="1"/>
  <c r="L146" i="1" s="1"/>
  <c r="M146" i="1" s="1"/>
  <c r="N146" i="1" s="1"/>
  <c r="O146" i="1" s="1"/>
  <c r="P146" i="1" s="1"/>
  <c r="Q146" i="1" s="1"/>
  <c r="R146" i="1" s="1"/>
  <c r="S146" i="1" s="1"/>
  <c r="I145" i="1"/>
  <c r="J145" i="1" s="1"/>
  <c r="K145" i="1" s="1"/>
  <c r="L145" i="1" s="1"/>
  <c r="M145" i="1" s="1"/>
  <c r="N145" i="1" s="1"/>
  <c r="O145" i="1" s="1"/>
  <c r="P145" i="1" s="1"/>
  <c r="Q145" i="1" s="1"/>
  <c r="R145" i="1" s="1"/>
  <c r="S145" i="1" s="1"/>
  <c r="H199" i="1"/>
  <c r="H200" i="1" s="1"/>
  <c r="K159" i="1" l="1"/>
  <c r="L159" i="1" s="1"/>
  <c r="M159" i="1" s="1"/>
  <c r="N159" i="1" s="1"/>
  <c r="O159" i="1" s="1"/>
  <c r="P159" i="1" s="1"/>
  <c r="Q159" i="1" s="1"/>
  <c r="R159" i="1" s="1"/>
  <c r="S159" i="1" s="1"/>
  <c r="Q162" i="1"/>
  <c r="R162" i="1" s="1"/>
  <c r="S162" i="1" s="1"/>
  <c r="Q194" i="1"/>
  <c r="R194" i="1" s="1"/>
  <c r="S194" i="1" s="1"/>
  <c r="R190" i="1"/>
  <c r="S190" i="1" s="1"/>
  <c r="K187" i="1"/>
  <c r="L187" i="1" s="1"/>
  <c r="M187" i="1" s="1"/>
  <c r="N187" i="1" s="1"/>
  <c r="O187" i="1" s="1"/>
  <c r="P187" i="1" s="1"/>
  <c r="Q187" i="1" s="1"/>
  <c r="R187" i="1" s="1"/>
  <c r="S187" i="1" s="1"/>
  <c r="J199" i="1"/>
  <c r="J200" i="1" s="1"/>
  <c r="K199" i="1"/>
  <c r="K200" i="1" s="1"/>
  <c r="I199" i="1"/>
  <c r="I200" i="1" s="1"/>
  <c r="S46" i="1"/>
  <c r="O96" i="1" l="1"/>
  <c r="O77" i="1"/>
  <c r="O34" i="1"/>
  <c r="N77" i="1"/>
  <c r="L74" i="1"/>
  <c r="L77" i="1" l="1"/>
  <c r="L56" i="1"/>
  <c r="K77" i="1" l="1"/>
  <c r="K40" i="1"/>
  <c r="H132" i="1" l="1"/>
  <c r="H131" i="1" s="1"/>
  <c r="I132" i="1"/>
  <c r="I131" i="1" s="1"/>
  <c r="J132" i="1"/>
  <c r="J131" i="1" s="1"/>
  <c r="K132" i="1"/>
  <c r="K131" i="1" s="1"/>
  <c r="L132" i="1"/>
  <c r="L131" i="1" s="1"/>
  <c r="M132" i="1"/>
  <c r="M131" i="1" s="1"/>
  <c r="N132" i="1"/>
  <c r="N131" i="1" s="1"/>
  <c r="O132" i="1"/>
  <c r="O131" i="1" s="1"/>
  <c r="P132" i="1"/>
  <c r="P131" i="1" s="1"/>
  <c r="Q132" i="1"/>
  <c r="Q131" i="1" s="1"/>
  <c r="R132" i="1"/>
  <c r="R131" i="1" s="1"/>
  <c r="S132" i="1"/>
  <c r="S131" i="1" s="1"/>
  <c r="H129" i="1"/>
  <c r="H128" i="1" s="1"/>
  <c r="H127" i="1" s="1"/>
  <c r="H126" i="1" s="1"/>
  <c r="I129" i="1"/>
  <c r="I128" i="1" s="1"/>
  <c r="I127" i="1" s="1"/>
  <c r="I126" i="1" s="1"/>
  <c r="J129" i="1"/>
  <c r="J128" i="1" s="1"/>
  <c r="J127" i="1" s="1"/>
  <c r="J126" i="1" s="1"/>
  <c r="K129" i="1"/>
  <c r="K128" i="1" s="1"/>
  <c r="K127" i="1" s="1"/>
  <c r="K126" i="1" s="1"/>
  <c r="L129" i="1"/>
  <c r="L128" i="1" s="1"/>
  <c r="L127" i="1" s="1"/>
  <c r="L126" i="1" s="1"/>
  <c r="M129" i="1"/>
  <c r="M128" i="1" s="1"/>
  <c r="M127" i="1" s="1"/>
  <c r="M126" i="1" s="1"/>
  <c r="N129" i="1"/>
  <c r="N128" i="1" s="1"/>
  <c r="N127" i="1" s="1"/>
  <c r="N126" i="1" s="1"/>
  <c r="O129" i="1"/>
  <c r="O128" i="1" s="1"/>
  <c r="O127" i="1" s="1"/>
  <c r="O126" i="1" s="1"/>
  <c r="P129" i="1"/>
  <c r="P128" i="1" s="1"/>
  <c r="P127" i="1" s="1"/>
  <c r="P126" i="1" s="1"/>
  <c r="Q129" i="1"/>
  <c r="Q128" i="1" s="1"/>
  <c r="Q127" i="1" s="1"/>
  <c r="Q126" i="1" s="1"/>
  <c r="R129" i="1"/>
  <c r="R128" i="1" s="1"/>
  <c r="R127" i="1" s="1"/>
  <c r="R126" i="1" s="1"/>
  <c r="S129" i="1"/>
  <c r="S128" i="1" s="1"/>
  <c r="S127" i="1" s="1"/>
  <c r="S126" i="1" s="1"/>
  <c r="G132" i="1"/>
  <c r="G131" i="1" s="1"/>
  <c r="G129" i="1"/>
  <c r="G128" i="1" s="1"/>
  <c r="G127" i="1" s="1"/>
  <c r="G126" i="1" s="1"/>
  <c r="I125" i="1"/>
  <c r="I123" i="1"/>
  <c r="I119" i="1"/>
  <c r="I117" i="1"/>
  <c r="I115" i="1"/>
  <c r="I113" i="1"/>
  <c r="I101" i="1"/>
  <c r="I97" i="1"/>
  <c r="I22" i="1"/>
  <c r="H77" i="1" l="1"/>
  <c r="I77" i="1"/>
  <c r="J77" i="1"/>
  <c r="M77" i="1"/>
  <c r="P77" i="1"/>
  <c r="Q77" i="1"/>
  <c r="R77" i="1"/>
  <c r="S77" i="1"/>
  <c r="G77" i="1"/>
  <c r="H80" i="1"/>
  <c r="I80" i="1"/>
  <c r="J80" i="1"/>
  <c r="K80" i="1"/>
  <c r="L80" i="1"/>
  <c r="M80" i="1"/>
  <c r="N80" i="1"/>
  <c r="O80" i="1"/>
  <c r="P80" i="1"/>
  <c r="Q80" i="1"/>
  <c r="R80" i="1"/>
  <c r="S80" i="1"/>
  <c r="G80" i="1"/>
  <c r="H88" i="1"/>
  <c r="I88" i="1"/>
  <c r="J88" i="1"/>
  <c r="K88" i="1"/>
  <c r="L88" i="1"/>
  <c r="M88" i="1"/>
  <c r="N88" i="1"/>
  <c r="O88" i="1"/>
  <c r="P88" i="1"/>
  <c r="Q88" i="1"/>
  <c r="R88" i="1"/>
  <c r="S88" i="1"/>
  <c r="G88" i="1"/>
  <c r="H90" i="1"/>
  <c r="I90" i="1"/>
  <c r="J90" i="1"/>
  <c r="K90" i="1"/>
  <c r="L90" i="1"/>
  <c r="M90" i="1"/>
  <c r="N90" i="1"/>
  <c r="O90" i="1"/>
  <c r="P90" i="1"/>
  <c r="Q90" i="1"/>
  <c r="R90" i="1"/>
  <c r="S90" i="1"/>
  <c r="G90" i="1"/>
  <c r="M87" i="1" l="1"/>
  <c r="I87" i="1"/>
  <c r="K87" i="1"/>
  <c r="O87" i="1"/>
  <c r="S87" i="1"/>
  <c r="R87" i="1"/>
  <c r="G87" i="1"/>
  <c r="P87" i="1"/>
  <c r="L87" i="1"/>
  <c r="Q87" i="1"/>
  <c r="J87" i="1"/>
  <c r="N87" i="1"/>
  <c r="H87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H112" i="1"/>
  <c r="I112" i="1"/>
  <c r="J112" i="1"/>
  <c r="K112" i="1"/>
  <c r="L112" i="1"/>
  <c r="M112" i="1"/>
  <c r="N112" i="1"/>
  <c r="O112" i="1"/>
  <c r="P112" i="1"/>
  <c r="Q112" i="1"/>
  <c r="R112" i="1"/>
  <c r="G112" i="1"/>
  <c r="H103" i="1"/>
  <c r="I103" i="1"/>
  <c r="J103" i="1"/>
  <c r="K103" i="1"/>
  <c r="L103" i="1"/>
  <c r="M103" i="1"/>
  <c r="N103" i="1"/>
  <c r="O103" i="1"/>
  <c r="P103" i="1"/>
  <c r="Q103" i="1"/>
  <c r="R103" i="1"/>
  <c r="G103" i="1"/>
  <c r="H98" i="1"/>
  <c r="I98" i="1"/>
  <c r="J98" i="1"/>
  <c r="K98" i="1"/>
  <c r="L98" i="1"/>
  <c r="M98" i="1"/>
  <c r="N98" i="1"/>
  <c r="O98" i="1"/>
  <c r="P98" i="1"/>
  <c r="Q98" i="1"/>
  <c r="R98" i="1"/>
  <c r="S98" i="1"/>
  <c r="G98" i="1"/>
  <c r="H28" i="1"/>
  <c r="I28" i="1"/>
  <c r="J28" i="1"/>
  <c r="K28" i="1"/>
  <c r="L28" i="1"/>
  <c r="M28" i="1"/>
  <c r="N28" i="1"/>
  <c r="O28" i="1"/>
  <c r="P28" i="1"/>
  <c r="Q28" i="1"/>
  <c r="R28" i="1"/>
  <c r="S28" i="1"/>
  <c r="G28" i="1"/>
  <c r="H48" i="1"/>
  <c r="I48" i="1"/>
  <c r="J48" i="1"/>
  <c r="K48" i="1"/>
  <c r="L48" i="1"/>
  <c r="M48" i="1"/>
  <c r="N48" i="1"/>
  <c r="O48" i="1"/>
  <c r="P48" i="1"/>
  <c r="Q48" i="1"/>
  <c r="R48" i="1"/>
  <c r="S48" i="1"/>
  <c r="G48" i="1"/>
  <c r="H85" i="1"/>
  <c r="I85" i="1"/>
  <c r="J85" i="1"/>
  <c r="K85" i="1"/>
  <c r="L85" i="1"/>
  <c r="M85" i="1"/>
  <c r="N85" i="1"/>
  <c r="O85" i="1"/>
  <c r="P85" i="1"/>
  <c r="Q85" i="1"/>
  <c r="R85" i="1"/>
  <c r="S85" i="1"/>
  <c r="G85" i="1"/>
  <c r="H82" i="1"/>
  <c r="I82" i="1"/>
  <c r="J82" i="1"/>
  <c r="K82" i="1"/>
  <c r="L82" i="1"/>
  <c r="M82" i="1"/>
  <c r="N82" i="1"/>
  <c r="O82" i="1"/>
  <c r="P82" i="1"/>
  <c r="Q82" i="1"/>
  <c r="R82" i="1"/>
  <c r="S82" i="1"/>
  <c r="G82" i="1"/>
  <c r="H22" i="1"/>
  <c r="I39" i="1" l="1"/>
  <c r="J39" i="1" l="1"/>
  <c r="J36" i="1"/>
  <c r="K39" i="1" l="1"/>
  <c r="K36" i="1"/>
  <c r="L39" i="1" l="1"/>
  <c r="I149" i="1" l="1"/>
  <c r="S149" i="1" s="1"/>
  <c r="I150" i="1"/>
  <c r="N199" i="1" l="1"/>
  <c r="N200" i="1" s="1"/>
  <c r="L199" i="1"/>
  <c r="L200" i="1" s="1"/>
  <c r="O199" i="1"/>
  <c r="O200" i="1" s="1"/>
  <c r="M199" i="1"/>
  <c r="M200" i="1" s="1"/>
  <c r="S199" i="1"/>
  <c r="R199" i="1"/>
  <c r="R200" i="1" s="1"/>
  <c r="Q199" i="1"/>
  <c r="Q200" i="1" s="1"/>
  <c r="P199" i="1"/>
  <c r="P200" i="1" s="1"/>
  <c r="H139" i="1"/>
  <c r="H138" i="1" s="1"/>
  <c r="H137" i="1" s="1"/>
  <c r="I139" i="1"/>
  <c r="I138" i="1" s="1"/>
  <c r="I137" i="1" s="1"/>
  <c r="J139" i="1"/>
  <c r="J138" i="1" s="1"/>
  <c r="J137" i="1" s="1"/>
  <c r="K139" i="1"/>
  <c r="K138" i="1" s="1"/>
  <c r="K137" i="1" s="1"/>
  <c r="L139" i="1"/>
  <c r="L138" i="1" s="1"/>
  <c r="L137" i="1" s="1"/>
  <c r="M139" i="1"/>
  <c r="M138" i="1" s="1"/>
  <c r="M137" i="1" s="1"/>
  <c r="N139" i="1"/>
  <c r="N138" i="1" s="1"/>
  <c r="N137" i="1" s="1"/>
  <c r="O139" i="1"/>
  <c r="O138" i="1" s="1"/>
  <c r="O137" i="1" s="1"/>
  <c r="P139" i="1"/>
  <c r="P138" i="1" s="1"/>
  <c r="P137" i="1" s="1"/>
  <c r="Q139" i="1"/>
  <c r="Q138" i="1" s="1"/>
  <c r="Q137" i="1" s="1"/>
  <c r="R139" i="1"/>
  <c r="R138" i="1" s="1"/>
  <c r="R137" i="1" s="1"/>
  <c r="S139" i="1"/>
  <c r="S138" i="1" s="1"/>
  <c r="S137" i="1" s="1"/>
  <c r="G139" i="1"/>
  <c r="G138" i="1" s="1"/>
  <c r="G137" i="1" s="1"/>
  <c r="S122" i="1"/>
  <c r="S121" i="1"/>
  <c r="G116" i="1"/>
  <c r="I116" i="1"/>
  <c r="J116" i="1"/>
  <c r="K116" i="1"/>
  <c r="L116" i="1"/>
  <c r="M116" i="1"/>
  <c r="N116" i="1"/>
  <c r="O116" i="1"/>
  <c r="P116" i="1"/>
  <c r="Q116" i="1"/>
  <c r="R116" i="1"/>
  <c r="H116" i="1"/>
  <c r="S116" i="1"/>
  <c r="S112" i="1"/>
  <c r="S103" i="1"/>
  <c r="I63" i="1"/>
  <c r="I62" i="1" s="1"/>
  <c r="J63" i="1"/>
  <c r="J62" i="1" s="1"/>
  <c r="K63" i="1"/>
  <c r="K62" i="1" s="1"/>
  <c r="L63" i="1"/>
  <c r="L62" i="1" s="1"/>
  <c r="M63" i="1"/>
  <c r="M62" i="1" s="1"/>
  <c r="N63" i="1"/>
  <c r="N62" i="1" s="1"/>
  <c r="O63" i="1"/>
  <c r="O62" i="1" s="1"/>
  <c r="P63" i="1"/>
  <c r="P62" i="1" s="1"/>
  <c r="Q63" i="1"/>
  <c r="Q62" i="1" s="1"/>
  <c r="R63" i="1"/>
  <c r="R62" i="1" s="1"/>
  <c r="S63" i="1"/>
  <c r="S62" i="1" s="1"/>
  <c r="H63" i="1"/>
  <c r="H62" i="1" s="1"/>
  <c r="S200" i="1" l="1"/>
  <c r="S206" i="1"/>
  <c r="S205" i="1" s="1"/>
  <c r="H16" i="1"/>
  <c r="H15" i="1" s="1"/>
  <c r="I16" i="1"/>
  <c r="I15" i="1" s="1"/>
  <c r="J16" i="1"/>
  <c r="J15" i="1" s="1"/>
  <c r="K16" i="1"/>
  <c r="K15" i="1" s="1"/>
  <c r="L16" i="1"/>
  <c r="L15" i="1" s="1"/>
  <c r="M16" i="1"/>
  <c r="M15" i="1" s="1"/>
  <c r="N16" i="1"/>
  <c r="N15" i="1" s="1"/>
  <c r="O16" i="1"/>
  <c r="O15" i="1" s="1"/>
  <c r="P16" i="1"/>
  <c r="P15" i="1" s="1"/>
  <c r="Q16" i="1"/>
  <c r="Q15" i="1" s="1"/>
  <c r="R16" i="1"/>
  <c r="R15" i="1" s="1"/>
  <c r="S16" i="1"/>
  <c r="S15" i="1" s="1"/>
  <c r="J22" i="1"/>
  <c r="K22" i="1"/>
  <c r="L22" i="1"/>
  <c r="M22" i="1"/>
  <c r="N22" i="1"/>
  <c r="O22" i="1"/>
  <c r="P22" i="1"/>
  <c r="Q22" i="1"/>
  <c r="R22" i="1"/>
  <c r="S22" i="1"/>
  <c r="H24" i="1"/>
  <c r="I24" i="1"/>
  <c r="J24" i="1"/>
  <c r="K24" i="1"/>
  <c r="L24" i="1"/>
  <c r="M24" i="1"/>
  <c r="N24" i="1"/>
  <c r="O24" i="1"/>
  <c r="P24" i="1"/>
  <c r="Q24" i="1"/>
  <c r="R24" i="1"/>
  <c r="S24" i="1"/>
  <c r="H26" i="1"/>
  <c r="I26" i="1"/>
  <c r="J26" i="1"/>
  <c r="K26" i="1"/>
  <c r="L26" i="1"/>
  <c r="M26" i="1"/>
  <c r="N26" i="1"/>
  <c r="O26" i="1"/>
  <c r="P26" i="1"/>
  <c r="Q26" i="1"/>
  <c r="R26" i="1"/>
  <c r="S26" i="1"/>
  <c r="H32" i="1"/>
  <c r="I32" i="1"/>
  <c r="J32" i="1"/>
  <c r="K32" i="1"/>
  <c r="L32" i="1"/>
  <c r="M32" i="1"/>
  <c r="N32" i="1"/>
  <c r="O32" i="1"/>
  <c r="P32" i="1"/>
  <c r="Q32" i="1"/>
  <c r="R32" i="1"/>
  <c r="S32" i="1"/>
  <c r="H34" i="1"/>
  <c r="I34" i="1"/>
  <c r="J34" i="1"/>
  <c r="K34" i="1"/>
  <c r="L34" i="1"/>
  <c r="M34" i="1"/>
  <c r="N34" i="1"/>
  <c r="P34" i="1"/>
  <c r="Q34" i="1"/>
  <c r="R34" i="1"/>
  <c r="S34" i="1"/>
  <c r="H37" i="1"/>
  <c r="I37" i="1"/>
  <c r="J37" i="1"/>
  <c r="K37" i="1"/>
  <c r="L37" i="1"/>
  <c r="M37" i="1"/>
  <c r="N37" i="1"/>
  <c r="O37" i="1"/>
  <c r="P37" i="1"/>
  <c r="Q37" i="1"/>
  <c r="R37" i="1"/>
  <c r="S37" i="1"/>
  <c r="H40" i="1"/>
  <c r="I40" i="1"/>
  <c r="J40" i="1"/>
  <c r="L40" i="1"/>
  <c r="M40" i="1"/>
  <c r="N40" i="1"/>
  <c r="O40" i="1"/>
  <c r="P40" i="1"/>
  <c r="Q40" i="1"/>
  <c r="R40" i="1"/>
  <c r="S40" i="1"/>
  <c r="H43" i="1"/>
  <c r="I43" i="1"/>
  <c r="J43" i="1"/>
  <c r="K43" i="1"/>
  <c r="L43" i="1"/>
  <c r="M43" i="1"/>
  <c r="N43" i="1"/>
  <c r="O43" i="1"/>
  <c r="P43" i="1"/>
  <c r="Q43" i="1"/>
  <c r="R43" i="1"/>
  <c r="S43" i="1"/>
  <c r="H46" i="1"/>
  <c r="H45" i="1" s="1"/>
  <c r="I46" i="1"/>
  <c r="I45" i="1" s="1"/>
  <c r="J46" i="1"/>
  <c r="J45" i="1" s="1"/>
  <c r="K46" i="1"/>
  <c r="K45" i="1" s="1"/>
  <c r="L46" i="1"/>
  <c r="L45" i="1" s="1"/>
  <c r="M46" i="1"/>
  <c r="M45" i="1" s="1"/>
  <c r="N46" i="1"/>
  <c r="N45" i="1" s="1"/>
  <c r="O46" i="1"/>
  <c r="O45" i="1" s="1"/>
  <c r="P46" i="1"/>
  <c r="P45" i="1" s="1"/>
  <c r="Q46" i="1"/>
  <c r="Q45" i="1" s="1"/>
  <c r="R46" i="1"/>
  <c r="R45" i="1" s="1"/>
  <c r="S45" i="1"/>
  <c r="R21" i="1" l="1"/>
  <c r="R20" i="1" s="1"/>
  <c r="N21" i="1"/>
  <c r="N20" i="1" s="1"/>
  <c r="J21" i="1"/>
  <c r="J20" i="1" s="1"/>
  <c r="Q21" i="1"/>
  <c r="Q20" i="1" s="1"/>
  <c r="M21" i="1"/>
  <c r="M20" i="1" s="1"/>
  <c r="I21" i="1"/>
  <c r="I20" i="1" s="1"/>
  <c r="H21" i="1"/>
  <c r="H20" i="1" s="1"/>
  <c r="P21" i="1"/>
  <c r="P20" i="1" s="1"/>
  <c r="L21" i="1"/>
  <c r="L20" i="1" s="1"/>
  <c r="S21" i="1"/>
  <c r="S20" i="1" s="1"/>
  <c r="O21" i="1"/>
  <c r="O20" i="1" s="1"/>
  <c r="K21" i="1"/>
  <c r="K20" i="1" s="1"/>
  <c r="Q42" i="1"/>
  <c r="M42" i="1"/>
  <c r="I42" i="1"/>
  <c r="P42" i="1"/>
  <c r="L42" i="1"/>
  <c r="H42" i="1"/>
  <c r="S42" i="1"/>
  <c r="O42" i="1"/>
  <c r="K42" i="1"/>
  <c r="R42" i="1"/>
  <c r="N42" i="1"/>
  <c r="J42" i="1"/>
  <c r="Q31" i="1"/>
  <c r="Q30" i="1" s="1"/>
  <c r="M31" i="1"/>
  <c r="M30" i="1" s="1"/>
  <c r="I31" i="1"/>
  <c r="I30" i="1" s="1"/>
  <c r="P31" i="1"/>
  <c r="P30" i="1" s="1"/>
  <c r="L31" i="1"/>
  <c r="L30" i="1" s="1"/>
  <c r="H31" i="1"/>
  <c r="H30" i="1" s="1"/>
  <c r="S31" i="1"/>
  <c r="S30" i="1" s="1"/>
  <c r="O31" i="1"/>
  <c r="O30" i="1" s="1"/>
  <c r="K31" i="1"/>
  <c r="K30" i="1" s="1"/>
  <c r="R31" i="1"/>
  <c r="R30" i="1" s="1"/>
  <c r="N31" i="1"/>
  <c r="N30" i="1" s="1"/>
  <c r="J31" i="1"/>
  <c r="J30" i="1" s="1"/>
  <c r="H51" i="1"/>
  <c r="H50" i="1" s="1"/>
  <c r="I51" i="1"/>
  <c r="I50" i="1" s="1"/>
  <c r="J51" i="1"/>
  <c r="J50" i="1" s="1"/>
  <c r="K51" i="1"/>
  <c r="K50" i="1" s="1"/>
  <c r="L51" i="1"/>
  <c r="L50" i="1" s="1"/>
  <c r="M51" i="1"/>
  <c r="M50" i="1" s="1"/>
  <c r="N51" i="1"/>
  <c r="N50" i="1" s="1"/>
  <c r="O51" i="1"/>
  <c r="O50" i="1" s="1"/>
  <c r="P51" i="1"/>
  <c r="P50" i="1" s="1"/>
  <c r="Q51" i="1"/>
  <c r="Q50" i="1" s="1"/>
  <c r="R51" i="1"/>
  <c r="R50" i="1" s="1"/>
  <c r="S51" i="1"/>
  <c r="S50" i="1" s="1"/>
  <c r="H124" i="1"/>
  <c r="I124" i="1"/>
  <c r="J124" i="1"/>
  <c r="K124" i="1"/>
  <c r="L124" i="1"/>
  <c r="M124" i="1"/>
  <c r="N124" i="1"/>
  <c r="O124" i="1"/>
  <c r="P124" i="1"/>
  <c r="Q124" i="1"/>
  <c r="R124" i="1"/>
  <c r="S124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H96" i="1"/>
  <c r="H95" i="1" s="1"/>
  <c r="I96" i="1"/>
  <c r="I95" i="1" s="1"/>
  <c r="J96" i="1"/>
  <c r="K96" i="1"/>
  <c r="L96" i="1"/>
  <c r="L95" i="1" s="1"/>
  <c r="M96" i="1"/>
  <c r="N96" i="1"/>
  <c r="N95" i="1" s="1"/>
  <c r="O95" i="1"/>
  <c r="P96" i="1"/>
  <c r="P95" i="1" s="1"/>
  <c r="Q96" i="1"/>
  <c r="Q95" i="1" s="1"/>
  <c r="R96" i="1"/>
  <c r="S96" i="1"/>
  <c r="H74" i="1"/>
  <c r="H73" i="1" s="1"/>
  <c r="I74" i="1"/>
  <c r="I73" i="1" s="1"/>
  <c r="J74" i="1"/>
  <c r="J73" i="1" s="1"/>
  <c r="K74" i="1"/>
  <c r="K73" i="1" s="1"/>
  <c r="L73" i="1"/>
  <c r="M74" i="1"/>
  <c r="M73" i="1" s="1"/>
  <c r="N74" i="1"/>
  <c r="N73" i="1" s="1"/>
  <c r="O74" i="1"/>
  <c r="O73" i="1" s="1"/>
  <c r="P74" i="1"/>
  <c r="P73" i="1" s="1"/>
  <c r="Q74" i="1"/>
  <c r="Q73" i="1" s="1"/>
  <c r="R74" i="1"/>
  <c r="R73" i="1" s="1"/>
  <c r="S74" i="1"/>
  <c r="S73" i="1" s="1"/>
  <c r="H71" i="1"/>
  <c r="I71" i="1"/>
  <c r="J71" i="1"/>
  <c r="K71" i="1"/>
  <c r="L71" i="1"/>
  <c r="M71" i="1"/>
  <c r="M70" i="1" s="1"/>
  <c r="M69" i="1" s="1"/>
  <c r="N71" i="1"/>
  <c r="N70" i="1" s="1"/>
  <c r="N69" i="1" s="1"/>
  <c r="O71" i="1"/>
  <c r="O70" i="1" s="1"/>
  <c r="O69" i="1" s="1"/>
  <c r="P71" i="1"/>
  <c r="P70" i="1" s="1"/>
  <c r="P69" i="1" s="1"/>
  <c r="Q71" i="1"/>
  <c r="Q70" i="1" s="1"/>
  <c r="Q69" i="1" s="1"/>
  <c r="R71" i="1"/>
  <c r="R70" i="1" s="1"/>
  <c r="R69" i="1" s="1"/>
  <c r="S71" i="1"/>
  <c r="S70" i="1" s="1"/>
  <c r="S69" i="1" s="1"/>
  <c r="H70" i="1"/>
  <c r="H69" i="1" s="1"/>
  <c r="I70" i="1"/>
  <c r="I69" i="1" s="1"/>
  <c r="J70" i="1"/>
  <c r="J69" i="1" s="1"/>
  <c r="K70" i="1"/>
  <c r="K69" i="1" s="1"/>
  <c r="L70" i="1"/>
  <c r="L69" i="1" s="1"/>
  <c r="H65" i="1"/>
  <c r="I65" i="1"/>
  <c r="J65" i="1"/>
  <c r="K65" i="1"/>
  <c r="L65" i="1"/>
  <c r="M65" i="1"/>
  <c r="N65" i="1"/>
  <c r="O65" i="1"/>
  <c r="P65" i="1"/>
  <c r="Q65" i="1"/>
  <c r="R65" i="1"/>
  <c r="S65" i="1"/>
  <c r="H60" i="1"/>
  <c r="I60" i="1"/>
  <c r="J60" i="1"/>
  <c r="K60" i="1"/>
  <c r="L60" i="1"/>
  <c r="M60" i="1"/>
  <c r="N60" i="1"/>
  <c r="O60" i="1"/>
  <c r="P60" i="1"/>
  <c r="Q60" i="1"/>
  <c r="R60" i="1"/>
  <c r="S60" i="1"/>
  <c r="H58" i="1"/>
  <c r="I58" i="1"/>
  <c r="J58" i="1"/>
  <c r="K58" i="1"/>
  <c r="L58" i="1"/>
  <c r="M58" i="1"/>
  <c r="N58" i="1"/>
  <c r="O58" i="1"/>
  <c r="P58" i="1"/>
  <c r="Q58" i="1"/>
  <c r="R58" i="1"/>
  <c r="S58" i="1"/>
  <c r="H56" i="1"/>
  <c r="I56" i="1"/>
  <c r="J56" i="1"/>
  <c r="K56" i="1"/>
  <c r="M56" i="1"/>
  <c r="N56" i="1"/>
  <c r="O56" i="1"/>
  <c r="P56" i="1"/>
  <c r="Q56" i="1"/>
  <c r="R56" i="1"/>
  <c r="S56" i="1"/>
  <c r="G124" i="1"/>
  <c r="G120" i="1"/>
  <c r="G118" i="1"/>
  <c r="G114" i="1"/>
  <c r="G109" i="1"/>
  <c r="G107" i="1"/>
  <c r="G105" i="1"/>
  <c r="G100" i="1"/>
  <c r="G96" i="1"/>
  <c r="G74" i="1"/>
  <c r="G73" i="1" s="1"/>
  <c r="G71" i="1"/>
  <c r="G70" i="1" s="1"/>
  <c r="G69" i="1" s="1"/>
  <c r="G65" i="1"/>
  <c r="G63" i="1"/>
  <c r="G62" i="1" s="1"/>
  <c r="G60" i="1"/>
  <c r="G58" i="1"/>
  <c r="G56" i="1"/>
  <c r="G51" i="1"/>
  <c r="G50" i="1" s="1"/>
  <c r="G46" i="1"/>
  <c r="G45" i="1" s="1"/>
  <c r="G43" i="1"/>
  <c r="G40" i="1"/>
  <c r="G37" i="1"/>
  <c r="G34" i="1"/>
  <c r="G32" i="1"/>
  <c r="G26" i="1"/>
  <c r="G24" i="1"/>
  <c r="G22" i="1"/>
  <c r="G16" i="1"/>
  <c r="G15" i="1" s="1"/>
  <c r="S95" i="1" l="1"/>
  <c r="K95" i="1"/>
  <c r="R95" i="1"/>
  <c r="O14" i="1"/>
  <c r="M95" i="1"/>
  <c r="Q55" i="1"/>
  <c r="Q54" i="1" s="1"/>
  <c r="Q53" i="1" s="1"/>
  <c r="J95" i="1"/>
  <c r="G95" i="1"/>
  <c r="H102" i="1"/>
  <c r="G111" i="1"/>
  <c r="S111" i="1"/>
  <c r="O111" i="1"/>
  <c r="K111" i="1"/>
  <c r="R111" i="1"/>
  <c r="N111" i="1"/>
  <c r="J111" i="1"/>
  <c r="Q111" i="1"/>
  <c r="M111" i="1"/>
  <c r="I111" i="1"/>
  <c r="P111" i="1"/>
  <c r="L111" i="1"/>
  <c r="H111" i="1"/>
  <c r="Q102" i="1"/>
  <c r="M102" i="1"/>
  <c r="I102" i="1"/>
  <c r="P102" i="1"/>
  <c r="L102" i="1"/>
  <c r="G102" i="1"/>
  <c r="S102" i="1"/>
  <c r="O102" i="1"/>
  <c r="K102" i="1"/>
  <c r="R102" i="1"/>
  <c r="N102" i="1"/>
  <c r="J102" i="1"/>
  <c r="G21" i="1"/>
  <c r="G20" i="1" s="1"/>
  <c r="L14" i="1"/>
  <c r="M55" i="1"/>
  <c r="M54" i="1" s="1"/>
  <c r="M53" i="1" s="1"/>
  <c r="G55" i="1"/>
  <c r="G54" i="1" s="1"/>
  <c r="G53" i="1" s="1"/>
  <c r="P55" i="1"/>
  <c r="P54" i="1" s="1"/>
  <c r="P53" i="1" s="1"/>
  <c r="L55" i="1"/>
  <c r="L54" i="1" s="1"/>
  <c r="L53" i="1" s="1"/>
  <c r="R14" i="1"/>
  <c r="I55" i="1"/>
  <c r="I54" i="1" s="1"/>
  <c r="I53" i="1" s="1"/>
  <c r="K55" i="1"/>
  <c r="K54" i="1" s="1"/>
  <c r="K53" i="1" s="1"/>
  <c r="O55" i="1"/>
  <c r="O54" i="1" s="1"/>
  <c r="O53" i="1" s="1"/>
  <c r="G31" i="1"/>
  <c r="G30" i="1" s="1"/>
  <c r="H55" i="1"/>
  <c r="H54" i="1" s="1"/>
  <c r="H53" i="1" s="1"/>
  <c r="S55" i="1"/>
  <c r="S54" i="1" s="1"/>
  <c r="S53" i="1" s="1"/>
  <c r="R55" i="1"/>
  <c r="R54" i="1" s="1"/>
  <c r="R53" i="1" s="1"/>
  <c r="N55" i="1"/>
  <c r="N54" i="1" s="1"/>
  <c r="N53" i="1" s="1"/>
  <c r="J55" i="1"/>
  <c r="J54" i="1" s="1"/>
  <c r="J53" i="1" s="1"/>
  <c r="I14" i="1"/>
  <c r="N14" i="1"/>
  <c r="S14" i="1"/>
  <c r="K14" i="1"/>
  <c r="M14" i="1"/>
  <c r="H14" i="1"/>
  <c r="J14" i="1"/>
  <c r="P14" i="1"/>
  <c r="Q14" i="1"/>
  <c r="G42" i="1"/>
  <c r="R94" i="1" l="1"/>
  <c r="R93" i="1" s="1"/>
  <c r="I94" i="1"/>
  <c r="I93" i="1" s="1"/>
  <c r="Q94" i="1"/>
  <c r="Q93" i="1" s="1"/>
  <c r="K94" i="1"/>
  <c r="K93" i="1" s="1"/>
  <c r="P94" i="1"/>
  <c r="P93" i="1" s="1"/>
  <c r="G94" i="1"/>
  <c r="G93" i="1" s="1"/>
  <c r="O13" i="1"/>
  <c r="O92" i="1" s="1"/>
  <c r="O94" i="1"/>
  <c r="O93" i="1" s="1"/>
  <c r="N94" i="1"/>
  <c r="N93" i="1" s="1"/>
  <c r="M94" i="1"/>
  <c r="M93" i="1" s="1"/>
  <c r="L94" i="1"/>
  <c r="L93" i="1" s="1"/>
  <c r="J94" i="1"/>
  <c r="J93" i="1" s="1"/>
  <c r="I135" i="1"/>
  <c r="H94" i="1"/>
  <c r="H93" i="1" s="1"/>
  <c r="L13" i="1"/>
  <c r="L92" i="1" s="1"/>
  <c r="K135" i="1"/>
  <c r="M135" i="1"/>
  <c r="J135" i="1"/>
  <c r="S135" i="1"/>
  <c r="G201" i="1"/>
  <c r="G211" i="1" s="1"/>
  <c r="G210" i="1"/>
  <c r="N135" i="1"/>
  <c r="S94" i="1"/>
  <c r="S93" i="1" s="1"/>
  <c r="R13" i="1"/>
  <c r="R92" i="1" s="1"/>
  <c r="L135" i="1"/>
  <c r="P135" i="1"/>
  <c r="R135" i="1"/>
  <c r="Q135" i="1"/>
  <c r="O135" i="1"/>
  <c r="G14" i="1"/>
  <c r="H135" i="1"/>
  <c r="M13" i="1"/>
  <c r="M92" i="1" s="1"/>
  <c r="K13" i="1"/>
  <c r="K92" i="1" s="1"/>
  <c r="S13" i="1"/>
  <c r="S92" i="1" s="1"/>
  <c r="H13" i="1"/>
  <c r="H92" i="1" s="1"/>
  <c r="Q13" i="1"/>
  <c r="Q92" i="1" s="1"/>
  <c r="N13" i="1"/>
  <c r="N92" i="1" s="1"/>
  <c r="P13" i="1"/>
  <c r="P92" i="1" s="1"/>
  <c r="I13" i="1"/>
  <c r="I92" i="1" s="1"/>
  <c r="J13" i="1"/>
  <c r="J92" i="1" s="1"/>
  <c r="K134" i="1" l="1"/>
  <c r="G13" i="1"/>
  <c r="G92" i="1" s="1"/>
  <c r="G134" i="1" s="1"/>
  <c r="G142" i="1" s="1"/>
  <c r="O134" i="1"/>
  <c r="O142" i="1" s="1"/>
  <c r="H134" i="1"/>
  <c r="H142" i="1" s="1"/>
  <c r="J134" i="1"/>
  <c r="J142" i="1" s="1"/>
  <c r="L134" i="1"/>
  <c r="L142" i="1" s="1"/>
  <c r="S134" i="1"/>
  <c r="S142" i="1" s="1"/>
  <c r="S209" i="1" s="1"/>
  <c r="S208" i="1" s="1"/>
  <c r="R134" i="1"/>
  <c r="R142" i="1" s="1"/>
  <c r="M134" i="1"/>
  <c r="M142" i="1" s="1"/>
  <c r="N134" i="1"/>
  <c r="N142" i="1" s="1"/>
  <c r="G135" i="1"/>
  <c r="H201" i="1"/>
  <c r="H211" i="1" s="1"/>
  <c r="H210" i="1"/>
  <c r="I210" i="1"/>
  <c r="I201" i="1"/>
  <c r="I211" i="1" s="1"/>
  <c r="J210" i="1"/>
  <c r="J201" i="1"/>
  <c r="J211" i="1" s="1"/>
  <c r="K201" i="1"/>
  <c r="K211" i="1" s="1"/>
  <c r="K210" i="1"/>
  <c r="L201" i="1"/>
  <c r="L211" i="1" s="1"/>
  <c r="L210" i="1"/>
  <c r="M210" i="1"/>
  <c r="M201" i="1"/>
  <c r="M211" i="1" s="1"/>
  <c r="N210" i="1"/>
  <c r="N201" i="1"/>
  <c r="N211" i="1" s="1"/>
  <c r="O201" i="1"/>
  <c r="O211" i="1" s="1"/>
  <c r="O210" i="1"/>
  <c r="P201" i="1"/>
  <c r="P211" i="1" s="1"/>
  <c r="P210" i="1"/>
  <c r="Q210" i="1"/>
  <c r="Q201" i="1"/>
  <c r="Q211" i="1" s="1"/>
  <c r="R210" i="1"/>
  <c r="R201" i="1"/>
  <c r="R211" i="1" s="1"/>
  <c r="S201" i="1"/>
  <c r="S211" i="1" s="1"/>
  <c r="S210" i="1"/>
  <c r="K142" i="1"/>
  <c r="I134" i="1"/>
  <c r="I142" i="1" s="1"/>
  <c r="P134" i="1"/>
  <c r="P142" i="1" s="1"/>
  <c r="Q134" i="1"/>
  <c r="Q142" i="1" s="1"/>
</calcChain>
</file>

<file path=xl/sharedStrings.xml><?xml version="1.0" encoding="utf-8"?>
<sst xmlns="http://schemas.openxmlformats.org/spreadsheetml/2006/main" count="475" uniqueCount="397">
  <si>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</si>
  <si>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</si>
  <si>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</si>
  <si>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</si>
  <si>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</si>
  <si>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</si>
  <si>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</si>
  <si>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</si>
  <si>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</si>
  <si>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</si>
  <si>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</si>
  <si>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</si>
  <si>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</si>
  <si>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</si>
  <si>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</si>
  <si>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</si>
  <si>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</si>
  <si>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</si>
  <si>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</si>
  <si>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</si>
  <si>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</si>
  <si>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</si>
  <si>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</si>
  <si>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</si>
  <si>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</si>
  <si>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</si>
  <si>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</si>
  <si>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</si>
  <si>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</si>
  <si>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</si>
  <si>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</si>
  <si>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</si>
  <si>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</si>
  <si>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</si>
  <si>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</si>
  <si>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</si>
  <si>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</si>
  <si>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</si>
  <si>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</si>
  <si>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000 1 12 00000 00 0000 000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</si>
  <si>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</si>
  <si>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</si>
  <si>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</si>
  <si>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</si>
  <si>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</si>
  <si>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</si>
  <si>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</si>
  <si>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</si>
  <si>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</si>
  <si>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</si>
  <si>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</si>
  <si>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</si>
  <si>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</si>
  <si>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</si>
  <si>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</si>
  <si>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</si>
  <si>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</si>
  <si>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</si>
  <si>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</si>
  <si>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Направление остатков на покрытие временного кассового разрыва</t>
  </si>
  <si>
    <t>Начальник финансового отдела</t>
  </si>
  <si>
    <t xml:space="preserve">         _______________</t>
  </si>
  <si>
    <t xml:space="preserve">                                                           ______________________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</si>
  <si>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</si>
  <si>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</si>
  <si>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</si>
  <si>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</si>
  <si>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</si>
  <si>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</si>
  <si>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</si>
  <si>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</si>
  <si>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</si>
  <si>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</si>
  <si>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</si>
  <si>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</si>
  <si>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000 1 01 02020 01 0000 110  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</si>
  <si>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</si>
  <si>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000 1 01 02030 01 0000 110   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</si>
  <si>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</si>
  <si>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</si>
  <si>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</si>
  <si>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</si>
  <si>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</si>
  <si>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</si>
  <si>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</si>
  <si>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</si>
  <si>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</si>
  <si>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</si>
  <si>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</si>
  <si>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</si>
  <si>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</si>
  <si>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</si>
  <si>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</si>
  <si>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</si>
  <si>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</si>
  <si>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</si>
  <si>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</si>
  <si>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</si>
  <si>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</si>
  <si>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</si>
  <si>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</si>
  <si>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</si>
  <si>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</si>
  <si>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</si>
  <si>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</si>
  <si>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</si>
  <si>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</si>
  <si>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</si>
  <si>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</si>
  <si>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</si>
  <si>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</si>
  <si>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</si>
  <si>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Налог на имущество физических лиц 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</si>
  <si>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</si>
  <si>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</si>
  <si>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000 1 06 01020 04 0000 110 </t>
  </si>
  <si>
    <t>Земельный налог</t>
  </si>
  <si>
    <t>000 1 06 06000 00 0000 110</t>
  </si>
  <si>
    <t>Земельный налог с организаций</t>
  </si>
  <si>
    <t xml:space="preserve">  000 1 06 06030 00 0000 110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</si>
  <si>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</si>
  <si>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000 1 06 06032 04 0000 110 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</si>
  <si>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</si>
  <si>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</si>
  <si>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</si>
  <si>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</si>
  <si>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</si>
  <si>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</si>
  <si>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</si>
  <si>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</si>
  <si>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</si>
  <si>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</si>
  <si>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</si>
  <si>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</si>
  <si>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</si>
  <si>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</si>
  <si>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 xml:space="preserve">000 1 12 01010 01 0000 120 </t>
  </si>
  <si>
    <t>Плата за сбросы загрязняющих веществ в водные объекты</t>
  </si>
  <si>
    <t xml:space="preserve">000 1 12 01030 01 0000 120 </t>
  </si>
  <si>
    <t>Плата за размещение отходов производства и потребления</t>
  </si>
  <si>
    <t xml:space="preserve">000 1 12 01040 01 0000 120 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</si>
  <si>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</si>
  <si>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</si>
  <si>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</si>
  <si>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</si>
  <si>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</si>
  <si>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</si>
  <si>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</si>
  <si>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</si>
  <si>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</si>
  <si>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</si>
  <si>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</si>
  <si>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</si>
  <si>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</si>
  <si>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</si>
  <si>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</si>
  <si>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</t>
  </si>
  <si>
    <t>000 2 02 29999 00 0000 150</t>
  </si>
  <si>
    <t>Прочие субсидии бюджетам городских округов</t>
  </si>
  <si>
    <t>000 2 02 29999 04 0000 150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</si>
  <si>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</si>
  <si>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</si>
  <si>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</si>
  <si>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</si>
  <si>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</si>
  <si>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</si>
  <si>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000 2 02 30027 04 0000 150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</si>
  <si>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</si>
  <si>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</si>
  <si>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</si>
  <si>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</si>
  <si>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</si>
  <si>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</si>
  <si>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</si>
  <si>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000 2 02 35118 04 0000 150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</si>
  <si>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</si>
  <si>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</si>
  <si>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</si>
  <si>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</si>
  <si>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</si>
  <si>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</si>
  <si>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городских округов на государственную регистрацию актов гражданского состояния</t>
  </si>
  <si>
    <t>000 2 02 35930 04 0000 150</t>
  </si>
  <si>
    <t>Единая субвенция местным бюджетам</t>
  </si>
  <si>
    <t>000 2 02 39998 00 0000 150</t>
  </si>
  <si>
    <t>Единая субвенция бюджетам городских округов</t>
  </si>
  <si>
    <t>000 2 02 39998 04 0000 150</t>
  </si>
  <si>
    <t>Муниципальное казенное учреждение "Финансовый отдел Администрации ЗАТО Видяево"</t>
  </si>
  <si>
    <t>Источники финансирования дефицита бюджетов - всего</t>
  </si>
  <si>
    <t>Источников внутреннего финансирования дефицитов бюджетов</t>
  </si>
  <si>
    <t>Изменение остатков средств на счетах по учету средств бюджета</t>
  </si>
  <si>
    <t>00 00 00 00 00 0000 000</t>
  </si>
  <si>
    <t>90 00 00 00 00 0000 000</t>
  </si>
  <si>
    <t>01 00 00 00 00 0000 000</t>
  </si>
  <si>
    <t>01 05 00 00 00 0000 000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</si>
  <si>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</si>
  <si>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</si>
  <si>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</si>
  <si>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</si>
  <si>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</si>
  <si>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</si>
  <si>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</si>
  <si>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</si>
  <si>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 xml:space="preserve">  НАЦИОНАЛЬНАЯ ОБОРОНА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</si>
  <si>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</si>
  <si>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</si>
  <si>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</si>
  <si>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</si>
  <si>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</si>
  <si>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</si>
  <si>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</si>
  <si>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</si>
  <si>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</si>
  <si>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</si>
  <si>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</si>
  <si>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</si>
  <si>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</si>
  <si>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</si>
  <si>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</si>
  <si>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</si>
  <si>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</si>
  <si>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</si>
  <si>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</si>
  <si>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</si>
  <si>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</si>
  <si>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</si>
  <si>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</si>
  <si>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</si>
  <si>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</si>
  <si>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</si>
  <si>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</si>
  <si>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</si>
  <si>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</si>
  <si>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</si>
  <si>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</si>
  <si>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</si>
  <si>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</si>
  <si>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 xml:space="preserve">  СРЕДСТВА МАССОВОЙ ИНФОРМАЦИИ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</si>
  <si>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</si>
  <si>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</si>
  <si>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</si>
  <si>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</si>
  <si>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</si>
  <si>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</si>
  <si>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Изменение остатков средств на счетах по учету  средств бюджета</t>
  </si>
  <si>
    <t>Увеличение остатков средств бюджетов</t>
  </si>
  <si>
    <t>Уменьшение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</si>
  <si>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</si>
  <si>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</si>
  <si>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</si>
  <si>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</si>
  <si>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 xml:space="preserve">                                                        (расшифровка подписи)</t>
  </si>
  <si>
    <t>91501050201040000610</t>
  </si>
  <si>
    <t>91501050201000000610</t>
  </si>
  <si>
    <t>91501050201040000510</t>
  </si>
  <si>
    <t>91501050201000000510</t>
  </si>
  <si>
    <t>91501050000000000600</t>
  </si>
  <si>
    <t>91501050000000000500</t>
  </si>
  <si>
    <t>91501050000000000000</t>
  </si>
  <si>
    <t>91590000000000000000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</si>
  <si>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</si>
  <si>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</si>
  <si>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</si>
  <si>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</si>
  <si>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</si>
  <si>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</si>
  <si>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</si>
  <si>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</si>
  <si>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</si>
  <si>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</si>
  <si>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</si>
  <si>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</si>
  <si>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</si>
  <si>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</si>
  <si>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</si>
  <si>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</si>
  <si>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</si>
  <si>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</si>
  <si>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</si>
  <si>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</si>
  <si>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</si>
  <si>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</si>
  <si>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</si>
  <si>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</si>
  <si>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</si>
  <si>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</si>
  <si>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</si>
  <si>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</si>
  <si>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</si>
  <si>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</si>
  <si>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</si>
  <si>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</si>
  <si>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</si>
  <si>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</si>
  <si>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</si>
  <si>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</si>
  <si>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</si>
  <si>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</si>
  <si>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</si>
  <si>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</si>
  <si>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</si>
  <si>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</si>
  <si>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</si>
  <si>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</si>
  <si>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</si>
  <si>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</si>
  <si>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</si>
  <si>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</si>
  <si>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</si>
  <si>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</si>
  <si>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</si>
  <si>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</si>
  <si>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</si>
  <si>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</si>
  <si>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</si>
  <si>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</si>
  <si>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</si>
  <si>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</si>
  <si>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</si>
  <si>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</si>
  <si>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Кассовый план исполнения бюджета ЗАТО Видяево на 01.01.2020 года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</si>
  <si>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</si>
  <si>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</si>
  <si>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000 1 16 33000 00 0000 140</t>
  </si>
  <si>
    <t>000 1 16 33040 04 0000 140</t>
  </si>
  <si>
    <t>000 1 16 43000 01 0000 140</t>
  </si>
  <si>
    <t>000 1 16 90000 00 0000 140</t>
  </si>
  <si>
    <t>000 1 16 90040 04 0000 140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</si>
  <si>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</si>
  <si>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</si>
  <si>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</si>
  <si>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</si>
  <si>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</si>
  <si>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000 1 06 06040 00 0000 110</t>
  </si>
  <si>
    <t>000 1 06 06042 04 0000 110</t>
  </si>
  <si>
    <t>Земельный налог с физических лиц</t>
  </si>
  <si>
    <t>Земельный налог с физических лиц,   обладающих земельным участком, расположенным в границах городских округов</t>
  </si>
  <si>
    <t>000 1 03 02260 01 0000 110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</si>
  <si>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</si>
  <si>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</si>
  <si>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</si>
  <si>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000 2 02 15002 00 0000 150</t>
  </si>
  <si>
    <t>000 2 02 15002 04 0000 150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</si>
  <si>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</si>
  <si>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</si>
  <si>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000 2 02 20041 00 0000 150</t>
  </si>
  <si>
    <t>000 2 02 20041 04 0000 150</t>
  </si>
  <si>
    <t>000 2 02 25519 00 0000 150</t>
  </si>
  <si>
    <t>000 2 02 25519 04 0000 150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</si>
  <si>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</si>
  <si>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</si>
  <si>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</si>
  <si>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</si>
  <si>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</si>
  <si>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на реализацию программ формирования современной городской среды</t>
  </si>
  <si>
    <t>Субсидия бюджетам городских округов на поддержку отрасли культуры</t>
  </si>
  <si>
    <t>Субсидия бюджетам на поддержку отрасли культуры</t>
  </si>
  <si>
    <t>000 1 17 00000 00 0000 000</t>
  </si>
  <si>
    <t>000 1 17 01000 00 0000 180</t>
  </si>
  <si>
    <t>000 1 17 01040 04 0000 180</t>
  </si>
  <si>
    <t>000 1 17 05000 00 0000 180</t>
  </si>
  <si>
    <t>000 1 17 05040 04 0000 180</t>
  </si>
  <si>
    <t>ПРОЧИЕ НЕНАЛОГОВЫЕ ДОХОДЫ</t>
  </si>
  <si>
    <t>Невыясненные поступления</t>
  </si>
  <si>
    <t>Невыясненные поступления, зачисляемые в бюджеты городских округов</t>
  </si>
  <si>
    <t>Прочие неналоговые доходы</t>
  </si>
  <si>
    <t>Прочие неналоговые доходы бюджетов городских округов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</si>
  <si>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</si>
  <si>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</si>
  <si>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 xml:space="preserve">  Денежные взыскания (штрафы) за нарушение законодательства в области охраны окружающей среды</t>
  </si>
  <si>
    <t>000 1 16 25050 01 0000 140</t>
  </si>
  <si>
    <t xml:space="preserve">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</si>
  <si>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</si>
  <si>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  Денежные взыскания (штрафы) за правонарушения в области дорожного движения</t>
  </si>
  <si>
    <t>000 1 16 30000 01 0000 140</t>
  </si>
  <si>
    <t xml:space="preserve">    Прочие денежные взыскания (штрафы) за правонарушения в области дорожного движения</t>
  </si>
  <si>
    <t>000 1 16 30030 01 0000 140</t>
  </si>
  <si>
    <t>000 2 18 00000 00 0000 000</t>
  </si>
  <si>
    <t>000 2 18 00000 00 0000 150</t>
  </si>
  <si>
    <t>000 2 18 00000 04 0000 150</t>
  </si>
  <si>
    <t>000 2 18 04000 04 0000 150</t>
  </si>
  <si>
    <t>000 2 18 04010 04 0000 150</t>
  </si>
  <si>
    <t>000 2 19 00000 00 0000 000</t>
  </si>
  <si>
    <t>000 2 19 00000 04 0000 150</t>
  </si>
  <si>
    <t>000 2 19 60010 04 0000 150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</si>
  <si>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</si>
  <si>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</si>
  <si>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</si>
  <si>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</si>
  <si>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</si>
  <si>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</si>
  <si>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</si>
  <si>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</si>
  <si>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к распоряжению Финансового отдела </t>
  </si>
  <si>
    <t>Администрации ЗАТО видяево</t>
  </si>
  <si>
    <t>от 30 декабря 2019 № 42-рф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</si>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</sst>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6" fillId="0" borderId="7">
      <alignment horizontal="left" vertical="top" wrapText="1"/>
    </xf>
    <xf numFmtId="4" fontId="6" fillId="5" borderId="7">
      <alignment horizontal="right" vertical="top" shrinkToFit="1"/>
    </xf>
    <xf numFmtId="0" fontId="7" fillId="0" borderId="8">
      <alignment horizontal="left"/>
    </xf>
    <xf numFmtId="4" fontId="7" fillId="6" borderId="7">
      <alignment horizontal="right" vertical="top" shrinkToFit="1"/>
    </xf>
    <xf numFmtId="0" fontId="10" fillId="0" borderId="0"/>
    <xf numFmtId="0" fontId="11" fillId="0" borderId="23">
      <alignment horizontal="left" wrapText="1" indent="2"/>
    </xf>
    <xf numFmtId="49" fontId="11" fillId="0" borderId="24">
      <alignment horizontal="center"/>
    </xf>
    <xf numFmtId="49" fontId="11" fillId="0" borderId="24">
      <alignment horizontal="center"/>
    </xf>
  </cellStyleXfs>
  <cellXfs count="115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4" fillId="4" borderId="0" xfId="0" applyFont="1" applyFill="1"/>
    <xf numFmtId="0" fontId="0" fillId="4" borderId="0" xfId="0" applyFill="1"/>
    <xf numFmtId="49" fontId="1" fillId="2" borderId="1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7" xfId="1" quotePrefix="1" applyNumberFormat="1" applyFont="1" applyAlignment="1" applyProtection="1">
      <alignment horizontal="center" vertical="center" wrapText="1"/>
    </xf>
    <xf numFmtId="0" fontId="8" fillId="0" borderId="7" xfId="1" applyNumberFormat="1" applyFont="1" applyAlignment="1" applyProtection="1">
      <alignment horizontal="center" vertical="center" wrapText="1"/>
    </xf>
    <xf numFmtId="4" fontId="8" fillId="2" borderId="8" xfId="2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/>
    </xf>
    <xf numFmtId="0" fontId="8" fillId="0" borderId="7" xfId="1" quotePrefix="1" applyNumberFormat="1" applyFont="1" applyAlignment="1" applyProtection="1">
      <alignment horizontal="left" vertical="top" wrapText="1"/>
    </xf>
    <xf numFmtId="0" fontId="9" fillId="0" borderId="8" xfId="3" applyNumberFormat="1" applyFont="1" applyAlignment="1" applyProtection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2" fontId="3" fillId="2" borderId="1" xfId="5" applyNumberFormat="1" applyFont="1" applyFill="1" applyBorder="1" applyAlignment="1" applyProtection="1">
      <alignment horizontal="center" vertical="center"/>
      <protection locked="0"/>
    </xf>
    <xf numFmtId="0" fontId="8" fillId="0" borderId="25" xfId="6" applyNumberFormat="1" applyFont="1" applyBorder="1" applyAlignment="1" applyProtection="1">
      <alignment horizontal="left" wrapText="1"/>
    </xf>
    <xf numFmtId="0" fontId="11" fillId="0" borderId="25" xfId="6" applyNumberFormat="1" applyBorder="1" applyAlignment="1" applyProtection="1">
      <alignment horizontal="left" wrapText="1"/>
    </xf>
    <xf numFmtId="0" fontId="8" fillId="0" borderId="1" xfId="6" applyNumberFormat="1" applyFont="1" applyBorder="1" applyAlignment="1" applyProtection="1">
      <alignment horizontal="left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3" fillId="2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49" fontId="11" fillId="0" borderId="1" xfId="8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justify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8" fillId="0" borderId="1" xfId="7" applyFont="1" applyBorder="1" applyAlignment="1" applyProtection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left" wrapText="1"/>
    </xf>
    <xf numFmtId="0" fontId="1" fillId="0" borderId="9" xfId="0" applyFont="1" applyBorder="1" applyAlignment="1"/>
    <xf numFmtId="0" fontId="1" fillId="0" borderId="10" xfId="0" applyFont="1" applyBorder="1" applyAlignment="1"/>
    <xf numFmtId="4" fontId="1" fillId="2" borderId="2" xfId="0" applyNumberFormat="1" applyFont="1" applyFill="1" applyBorder="1" applyAlignment="1">
      <alignment horizontal="center" vertical="center" textRotation="90" wrapText="1"/>
    </xf>
    <xf numFmtId="4" fontId="1" fillId="2" borderId="3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/>
    <xf numFmtId="0" fontId="0" fillId="0" borderId="0" xfId="0" applyAlignment="1">
      <alignment horizontal="right"/>
    </xf>
    <xf numFmtId="49" fontId="8" fillId="0" borderId="1" xfId="8" applyNumberFormat="1" applyFont="1" applyBorder="1" applyAlignment="1" applyProtection="1">
      <alignment horizontal="center"/>
    </xf>
    <xf numFmtId="49" fontId="11" fillId="0" borderId="1" xfId="7" applyBorder="1" applyAlignment="1" applyProtection="1">
      <alignment horizontal="center"/>
    </xf>
    <xf numFmtId="49" fontId="11" fillId="0" borderId="3" xfId="7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9">
    <cellStyle name="xl24" xfId="3"/>
    <cellStyle name="xl30" xfId="6"/>
    <cellStyle name="xl31" xfId="4"/>
    <cellStyle name="xl34" xfId="1"/>
    <cellStyle name="xl36" xfId="2"/>
    <cellStyle name="xl41" xfId="8"/>
    <cellStyle name="xl42" xfId="7"/>
    <cellStyle name="Обычный" xfId="0" builtinId="0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8"/>
  <sheetViews>
    <sheetView tabSelected="1" zoomScaleNormal="100" workbookViewId="0">
      <selection activeCell="H202" sqref="H202:S202"/>
    </sheetView>
  </sheetViews>
  <sheetFormatPr defaultRowHeight="15" x14ac:dyDescent="0.25"/>
  <cols>
    <col min="1" max="1" width="22.42578125" style="32" customWidth="1"/>
    <col min="2" max="2" width="3.5703125" style="20" bestFit="1" customWidth="1"/>
    <col min="3" max="3" width="4.42578125" style="20" bestFit="1" customWidth="1"/>
    <col min="4" max="4" width="9.5703125" style="20" bestFit="1" customWidth="1"/>
    <col min="5" max="5" width="3.5703125" style="20" bestFit="1" customWidth="1"/>
    <col min="6" max="6" width="6.85546875" style="20" customWidth="1"/>
    <col min="7" max="7" width="12.7109375" style="9" customWidth="1"/>
    <col min="8" max="11" width="11.42578125" style="10" bestFit="1" customWidth="1"/>
    <col min="12" max="12" width="11.7109375" style="10" bestFit="1" customWidth="1"/>
    <col min="13" max="13" width="12.28515625" style="10" bestFit="1" customWidth="1"/>
    <col min="14" max="14" width="11.7109375" style="10" bestFit="1" customWidth="1"/>
    <col min="15" max="15" width="12.28515625" style="10" bestFit="1" customWidth="1"/>
    <col min="16" max="16" width="12.42578125" style="10" customWidth="1"/>
    <col min="17" max="18" width="11.42578125" style="10" bestFit="1" customWidth="1"/>
    <col min="19" max="19" width="13.7109375" style="10" customWidth="1"/>
  </cols>
  <sheetData>
    <row r="1" spans="1:19" x14ac:dyDescent="0.25">
      <c r="A1" s="95" t="s">
        <v>396</v>
      </c>
      <c r="B1" s="95"/>
      <c r="C1" s="95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x14ac:dyDescent="0.25">
      <c r="A2" s="95" t="s">
        <v>393</v>
      </c>
      <c r="B2" s="95"/>
      <c r="C2" s="95"/>
      <c r="D2" s="95"/>
      <c r="E2" s="95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2.75" customHeight="1" x14ac:dyDescent="0.25">
      <c r="A3" s="95" t="s">
        <v>394</v>
      </c>
      <c r="B3" s="95"/>
      <c r="C3" s="95"/>
      <c r="D3" s="95"/>
      <c r="E3" s="95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12.75" customHeight="1" x14ac:dyDescent="0.25">
      <c r="A4" s="38"/>
      <c r="B4" s="38"/>
      <c r="C4" s="38"/>
      <c r="D4" s="38"/>
      <c r="E4" s="38"/>
      <c r="F4" s="39"/>
      <c r="G4" s="40"/>
      <c r="H4" s="40"/>
      <c r="I4" s="40"/>
      <c r="J4" s="40"/>
      <c r="K4" s="40"/>
      <c r="L4" s="40"/>
      <c r="M4" s="40"/>
      <c r="N4" s="40"/>
      <c r="O4" s="40"/>
      <c r="P4" s="96" t="s">
        <v>395</v>
      </c>
      <c r="Q4" s="108"/>
      <c r="R4" s="108"/>
      <c r="S4" s="108"/>
    </row>
    <row r="5" spans="1:19" s="3" customFormat="1" ht="13.5" customHeight="1" x14ac:dyDescent="0.25">
      <c r="A5" s="93" t="s">
        <v>320</v>
      </c>
      <c r="B5" s="93"/>
      <c r="C5" s="93"/>
      <c r="D5" s="93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19" ht="12.75" customHeight="1" x14ac:dyDescent="0.25">
      <c r="A6" s="106" t="s">
        <v>321</v>
      </c>
      <c r="B6" s="106"/>
      <c r="C6" s="106"/>
      <c r="D6" s="106"/>
      <c r="E6" s="106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x14ac:dyDescent="0.25">
      <c r="A7" s="100" t="s">
        <v>0</v>
      </c>
      <c r="B7" s="78" t="s">
        <v>1</v>
      </c>
      <c r="C7" s="79"/>
      <c r="D7" s="79"/>
      <c r="E7" s="79"/>
      <c r="F7" s="80"/>
      <c r="G7" s="97" t="s">
        <v>65</v>
      </c>
      <c r="H7" s="103" t="s">
        <v>2</v>
      </c>
      <c r="I7" s="104"/>
      <c r="J7" s="105"/>
      <c r="K7" s="103" t="s">
        <v>3</v>
      </c>
      <c r="L7" s="104"/>
      <c r="M7" s="105"/>
      <c r="N7" s="103" t="s">
        <v>4</v>
      </c>
      <c r="O7" s="104"/>
      <c r="P7" s="105"/>
      <c r="Q7" s="103" t="s">
        <v>5</v>
      </c>
      <c r="R7" s="104"/>
      <c r="S7" s="105"/>
    </row>
    <row r="8" spans="1:19" s="3" customFormat="1" x14ac:dyDescent="0.25">
      <c r="A8" s="101"/>
      <c r="B8" s="81"/>
      <c r="C8" s="82"/>
      <c r="D8" s="82"/>
      <c r="E8" s="82"/>
      <c r="F8" s="83"/>
      <c r="G8" s="98"/>
      <c r="H8" s="76" t="s">
        <v>6</v>
      </c>
      <c r="I8" s="76" t="s">
        <v>7</v>
      </c>
      <c r="J8" s="76" t="s">
        <v>8</v>
      </c>
      <c r="K8" s="76" t="s">
        <v>9</v>
      </c>
      <c r="L8" s="76" t="s">
        <v>10</v>
      </c>
      <c r="M8" s="76" t="s">
        <v>11</v>
      </c>
      <c r="N8" s="76" t="s">
        <v>12</v>
      </c>
      <c r="O8" s="76" t="s">
        <v>13</v>
      </c>
      <c r="P8" s="76" t="s">
        <v>14</v>
      </c>
      <c r="Q8" s="76" t="s">
        <v>15</v>
      </c>
      <c r="R8" s="76" t="s">
        <v>16</v>
      </c>
      <c r="S8" s="76" t="s">
        <v>17</v>
      </c>
    </row>
    <row r="9" spans="1:19" s="3" customFormat="1" ht="26.25" customHeight="1" x14ac:dyDescent="0.25">
      <c r="A9" s="102"/>
      <c r="B9" s="84"/>
      <c r="C9" s="85"/>
      <c r="D9" s="85"/>
      <c r="E9" s="85"/>
      <c r="F9" s="86"/>
      <c r="G9" s="99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19" s="3" customFormat="1" x14ac:dyDescent="0.25">
      <c r="A10" s="87" t="s">
        <v>18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9"/>
    </row>
    <row r="11" spans="1:19" s="3" customFormat="1" x14ac:dyDescent="0.25">
      <c r="A11" s="90" t="s">
        <v>19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91"/>
    </row>
    <row r="12" spans="1:19" s="3" customFormat="1" x14ac:dyDescent="0.25">
      <c r="A12" s="73" t="s">
        <v>70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/>
    </row>
    <row r="13" spans="1:19" ht="22.5" x14ac:dyDescent="0.25">
      <c r="A13" s="21" t="s">
        <v>20</v>
      </c>
      <c r="B13" s="72" t="s">
        <v>21</v>
      </c>
      <c r="C13" s="52"/>
      <c r="D13" s="52"/>
      <c r="E13" s="52"/>
      <c r="F13" s="53"/>
      <c r="G13" s="11">
        <f>G14+G53</f>
        <v>84322650.840000004</v>
      </c>
      <c r="H13" s="11">
        <f t="shared" ref="H13:S13" si="0">H14+H53</f>
        <v>2987857.73</v>
      </c>
      <c r="I13" s="11">
        <f t="shared" si="0"/>
        <v>6378090.4899999984</v>
      </c>
      <c r="J13" s="11">
        <f t="shared" si="0"/>
        <v>6945712.8999999985</v>
      </c>
      <c r="K13" s="11">
        <f t="shared" si="0"/>
        <v>7948277.0499999989</v>
      </c>
      <c r="L13" s="11">
        <f t="shared" si="0"/>
        <v>7004543.5499999989</v>
      </c>
      <c r="M13" s="11">
        <f t="shared" si="0"/>
        <v>6555747.919999999</v>
      </c>
      <c r="N13" s="11">
        <f t="shared" si="0"/>
        <v>6752517.5600000005</v>
      </c>
      <c r="O13" s="11">
        <f>O14+O53</f>
        <v>5268723.8800000008</v>
      </c>
      <c r="P13" s="11">
        <f t="shared" si="0"/>
        <v>6475094.7399999993</v>
      </c>
      <c r="Q13" s="11">
        <f t="shared" si="0"/>
        <v>6567475.8600000013</v>
      </c>
      <c r="R13" s="11">
        <f t="shared" si="0"/>
        <v>6855181.3400000008</v>
      </c>
      <c r="S13" s="11">
        <f t="shared" si="0"/>
        <v>14300031.590000002</v>
      </c>
    </row>
    <row r="14" spans="1:19" x14ac:dyDescent="0.25">
      <c r="A14" s="21" t="s">
        <v>71</v>
      </c>
      <c r="B14" s="92"/>
      <c r="C14" s="52"/>
      <c r="D14" s="52"/>
      <c r="E14" s="52"/>
      <c r="F14" s="53"/>
      <c r="G14" s="11">
        <f>G15+G30+G50+G42+G20</f>
        <v>70340695.640000001</v>
      </c>
      <c r="H14" s="11">
        <f t="shared" ref="H14:S14" si="1">H15+H30+H50+H42+H20</f>
        <v>1670329.17</v>
      </c>
      <c r="I14" s="11">
        <f t="shared" si="1"/>
        <v>5439357.7199999988</v>
      </c>
      <c r="J14" s="11">
        <f t="shared" si="1"/>
        <v>5747042.0599999987</v>
      </c>
      <c r="K14" s="11">
        <f t="shared" si="1"/>
        <v>6947814.7399999993</v>
      </c>
      <c r="L14" s="11">
        <f t="shared" si="1"/>
        <v>6084501.0999999987</v>
      </c>
      <c r="M14" s="11">
        <f t="shared" si="1"/>
        <v>5445614.7799999993</v>
      </c>
      <c r="N14" s="11">
        <f t="shared" si="1"/>
        <v>5637031.7400000002</v>
      </c>
      <c r="O14" s="11">
        <f t="shared" si="1"/>
        <v>4458367.8600000003</v>
      </c>
      <c r="P14" s="11">
        <f t="shared" si="1"/>
        <v>5044809.9799999995</v>
      </c>
      <c r="Q14" s="11">
        <f t="shared" si="1"/>
        <v>5037045.3600000013</v>
      </c>
      <c r="R14" s="11">
        <f t="shared" si="1"/>
        <v>5892956.8900000006</v>
      </c>
      <c r="S14" s="11">
        <f t="shared" si="1"/>
        <v>12771121.240000002</v>
      </c>
    </row>
    <row r="15" spans="1:19" ht="22.5" x14ac:dyDescent="0.25">
      <c r="A15" s="21" t="s">
        <v>22</v>
      </c>
      <c r="B15" s="72" t="s">
        <v>23</v>
      </c>
      <c r="C15" s="42"/>
      <c r="D15" s="42"/>
      <c r="E15" s="42"/>
      <c r="F15" s="43"/>
      <c r="G15" s="12">
        <f>G16</f>
        <v>64881666.090000004</v>
      </c>
      <c r="H15" s="12">
        <f t="shared" ref="H15:S15" si="2">H16</f>
        <v>917797.64</v>
      </c>
      <c r="I15" s="12">
        <f t="shared" si="2"/>
        <v>5258387.33</v>
      </c>
      <c r="J15" s="12">
        <f t="shared" si="2"/>
        <v>5424124.7299999995</v>
      </c>
      <c r="K15" s="12">
        <f t="shared" si="2"/>
        <v>6038202.46</v>
      </c>
      <c r="L15" s="12">
        <f t="shared" si="2"/>
        <v>5761411.5999999996</v>
      </c>
      <c r="M15" s="12">
        <f t="shared" si="2"/>
        <v>5248099.3600000003</v>
      </c>
      <c r="N15" s="12">
        <f t="shared" si="2"/>
        <v>4675304.8600000003</v>
      </c>
      <c r="O15" s="12">
        <f t="shared" si="2"/>
        <v>4179250.81</v>
      </c>
      <c r="P15" s="12">
        <f t="shared" si="2"/>
        <v>4807672</v>
      </c>
      <c r="Q15" s="12">
        <f t="shared" si="2"/>
        <v>4580346.91</v>
      </c>
      <c r="R15" s="12">
        <f t="shared" si="2"/>
        <v>5575630.5499999998</v>
      </c>
      <c r="S15" s="12">
        <f t="shared" si="2"/>
        <v>12412862.960000001</v>
      </c>
    </row>
    <row r="16" spans="1:19" x14ac:dyDescent="0.25">
      <c r="A16" s="22" t="s">
        <v>24</v>
      </c>
      <c r="B16" s="51" t="s">
        <v>25</v>
      </c>
      <c r="C16" s="42"/>
      <c r="D16" s="42"/>
      <c r="E16" s="42"/>
      <c r="F16" s="43"/>
      <c r="G16" s="12">
        <f>G17+G18+G19</f>
        <v>64881666.090000004</v>
      </c>
      <c r="H16" s="12">
        <f t="shared" ref="H16:S16" si="3">H17+H18+H19</f>
        <v>917797.64</v>
      </c>
      <c r="I16" s="12">
        <f t="shared" si="3"/>
        <v>5258387.33</v>
      </c>
      <c r="J16" s="12">
        <f t="shared" si="3"/>
        <v>5424124.7299999995</v>
      </c>
      <c r="K16" s="12">
        <f t="shared" si="3"/>
        <v>6038202.46</v>
      </c>
      <c r="L16" s="12">
        <f t="shared" si="3"/>
        <v>5761411.5999999996</v>
      </c>
      <c r="M16" s="12">
        <f t="shared" si="3"/>
        <v>5248099.3600000003</v>
      </c>
      <c r="N16" s="12">
        <f t="shared" si="3"/>
        <v>4675304.8600000003</v>
      </c>
      <c r="O16" s="12">
        <f t="shared" si="3"/>
        <v>4179250.81</v>
      </c>
      <c r="P16" s="12">
        <f t="shared" si="3"/>
        <v>4807672</v>
      </c>
      <c r="Q16" s="12">
        <f t="shared" si="3"/>
        <v>4580346.91</v>
      </c>
      <c r="R16" s="12">
        <f t="shared" si="3"/>
        <v>5575630.5499999998</v>
      </c>
      <c r="S16" s="12">
        <f t="shared" si="3"/>
        <v>12412862.960000001</v>
      </c>
    </row>
    <row r="17" spans="1:19" ht="112.5" customHeight="1" x14ac:dyDescent="0.25">
      <c r="A17" s="21" t="s">
        <v>72</v>
      </c>
      <c r="B17" s="51" t="s">
        <v>73</v>
      </c>
      <c r="C17" s="52"/>
      <c r="D17" s="52"/>
      <c r="E17" s="52"/>
      <c r="F17" s="53"/>
      <c r="G17" s="12">
        <v>64742102.490000002</v>
      </c>
      <c r="H17" s="34">
        <v>821689.64</v>
      </c>
      <c r="I17" s="34">
        <v>5254332.28</v>
      </c>
      <c r="J17" s="34">
        <v>5423857.2999999998</v>
      </c>
      <c r="K17" s="34">
        <v>6036293.1799999997</v>
      </c>
      <c r="L17" s="34">
        <v>5741463.8399999999</v>
      </c>
      <c r="M17" s="34">
        <v>5248099.3600000003</v>
      </c>
      <c r="N17" s="34">
        <v>4660970.4000000004</v>
      </c>
      <c r="O17" s="34">
        <v>4178969.82</v>
      </c>
      <c r="P17" s="34">
        <v>4807509.68</v>
      </c>
      <c r="Q17" s="34">
        <v>4565992.92</v>
      </c>
      <c r="R17" s="34">
        <v>5574431.8399999999</v>
      </c>
      <c r="S17" s="34">
        <v>12427892.189999999</v>
      </c>
    </row>
    <row r="18" spans="1:19" ht="171.75" customHeight="1" x14ac:dyDescent="0.25">
      <c r="A18" s="21" t="s">
        <v>74</v>
      </c>
      <c r="B18" s="51" t="s">
        <v>75</v>
      </c>
      <c r="C18" s="52"/>
      <c r="D18" s="52"/>
      <c r="E18" s="52"/>
      <c r="F18" s="53"/>
      <c r="G18" s="12">
        <v>4796.72</v>
      </c>
      <c r="H18" s="34">
        <v>0</v>
      </c>
      <c r="I18" s="34">
        <v>0</v>
      </c>
      <c r="J18" s="34">
        <v>267.43</v>
      </c>
      <c r="K18" s="34">
        <v>1909.28</v>
      </c>
      <c r="L18" s="34">
        <v>16825.8</v>
      </c>
      <c r="M18" s="34">
        <v>0</v>
      </c>
      <c r="N18" s="34">
        <v>131.13</v>
      </c>
      <c r="O18" s="34">
        <v>670.2</v>
      </c>
      <c r="P18" s="34">
        <v>0</v>
      </c>
      <c r="Q18" s="34">
        <v>0</v>
      </c>
      <c r="R18" s="34">
        <v>0</v>
      </c>
      <c r="S18" s="34">
        <v>-16665.189999999999</v>
      </c>
    </row>
    <row r="19" spans="1:19" ht="68.25" customHeight="1" x14ac:dyDescent="0.25">
      <c r="A19" s="21" t="s">
        <v>76</v>
      </c>
      <c r="B19" s="51" t="s">
        <v>77</v>
      </c>
      <c r="C19" s="52"/>
      <c r="D19" s="52"/>
      <c r="E19" s="52"/>
      <c r="F19" s="53"/>
      <c r="G19" s="12">
        <v>134766.88</v>
      </c>
      <c r="H19" s="34">
        <v>96108</v>
      </c>
      <c r="I19" s="34">
        <v>4055.05</v>
      </c>
      <c r="J19" s="34">
        <v>0</v>
      </c>
      <c r="K19" s="34">
        <v>0</v>
      </c>
      <c r="L19" s="34">
        <v>3121.96</v>
      </c>
      <c r="M19" s="34">
        <v>0</v>
      </c>
      <c r="N19" s="34">
        <v>14203.33</v>
      </c>
      <c r="O19" s="34">
        <v>-389.21</v>
      </c>
      <c r="P19" s="34">
        <v>162.32</v>
      </c>
      <c r="Q19" s="34">
        <v>14353.99</v>
      </c>
      <c r="R19" s="34">
        <v>1198.71</v>
      </c>
      <c r="S19" s="34">
        <v>1635.96</v>
      </c>
    </row>
    <row r="20" spans="1:19" ht="54.75" customHeight="1" x14ac:dyDescent="0.25">
      <c r="A20" s="21" t="s">
        <v>26</v>
      </c>
      <c r="B20" s="72" t="s">
        <v>27</v>
      </c>
      <c r="C20" s="52"/>
      <c r="D20" s="52"/>
      <c r="E20" s="52"/>
      <c r="F20" s="53"/>
      <c r="G20" s="12">
        <f>G21</f>
        <v>2442118.5499999998</v>
      </c>
      <c r="H20" s="12">
        <f t="shared" ref="H20:S20" si="4">H21</f>
        <v>214555.85</v>
      </c>
      <c r="I20" s="12">
        <f t="shared" si="4"/>
        <v>169472.31</v>
      </c>
      <c r="J20" s="12">
        <f t="shared" si="4"/>
        <v>169192.59</v>
      </c>
      <c r="K20" s="12">
        <f t="shared" si="4"/>
        <v>174963.71000000002</v>
      </c>
      <c r="L20" s="12">
        <f t="shared" si="4"/>
        <v>185209.64</v>
      </c>
      <c r="M20" s="12">
        <f t="shared" si="4"/>
        <v>167973.93</v>
      </c>
      <c r="N20" s="12">
        <f t="shared" si="4"/>
        <v>196931.78</v>
      </c>
      <c r="O20" s="12">
        <f t="shared" si="4"/>
        <v>201687.86000000002</v>
      </c>
      <c r="P20" s="12">
        <f t="shared" si="4"/>
        <v>218120.58000000002</v>
      </c>
      <c r="Q20" s="12">
        <f t="shared" si="4"/>
        <v>202698.4</v>
      </c>
      <c r="R20" s="12">
        <f t="shared" si="4"/>
        <v>202420.40000000002</v>
      </c>
      <c r="S20" s="12">
        <f t="shared" si="4"/>
        <v>186156.47</v>
      </c>
    </row>
    <row r="21" spans="1:19" ht="43.5" customHeight="1" x14ac:dyDescent="0.25">
      <c r="A21" s="21" t="s">
        <v>78</v>
      </c>
      <c r="B21" s="72" t="s">
        <v>79</v>
      </c>
      <c r="C21" s="52"/>
      <c r="D21" s="52"/>
      <c r="E21" s="52"/>
      <c r="F21" s="53"/>
      <c r="G21" s="12">
        <f>G22+G24+G26+G28</f>
        <v>2442118.5499999998</v>
      </c>
      <c r="H21" s="12">
        <f t="shared" ref="H21:S21" si="5">H22+H24+H26+H28</f>
        <v>214555.85</v>
      </c>
      <c r="I21" s="12">
        <f t="shared" si="5"/>
        <v>169472.31</v>
      </c>
      <c r="J21" s="12">
        <f t="shared" si="5"/>
        <v>169192.59</v>
      </c>
      <c r="K21" s="12">
        <f t="shared" si="5"/>
        <v>174963.71000000002</v>
      </c>
      <c r="L21" s="12">
        <f t="shared" si="5"/>
        <v>185209.64</v>
      </c>
      <c r="M21" s="12">
        <f t="shared" si="5"/>
        <v>167973.93</v>
      </c>
      <c r="N21" s="12">
        <f t="shared" si="5"/>
        <v>196931.78</v>
      </c>
      <c r="O21" s="12">
        <f t="shared" si="5"/>
        <v>201687.86000000002</v>
      </c>
      <c r="P21" s="12">
        <f t="shared" si="5"/>
        <v>218120.58000000002</v>
      </c>
      <c r="Q21" s="12">
        <f t="shared" si="5"/>
        <v>202698.4</v>
      </c>
      <c r="R21" s="12">
        <f t="shared" si="5"/>
        <v>202420.40000000002</v>
      </c>
      <c r="S21" s="12">
        <f t="shared" si="5"/>
        <v>186156.47</v>
      </c>
    </row>
    <row r="22" spans="1:19" ht="114" customHeight="1" x14ac:dyDescent="0.25">
      <c r="A22" s="21" t="s">
        <v>80</v>
      </c>
      <c r="B22" s="72" t="s">
        <v>81</v>
      </c>
      <c r="C22" s="52"/>
      <c r="D22" s="52"/>
      <c r="E22" s="52"/>
      <c r="F22" s="53"/>
      <c r="G22" s="12">
        <f>G23</f>
        <v>1042094.4</v>
      </c>
      <c r="H22" s="12">
        <f t="shared" ref="H22:S22" si="6">H23</f>
        <v>93697.75</v>
      </c>
      <c r="I22" s="12">
        <f t="shared" si="6"/>
        <v>76397.14</v>
      </c>
      <c r="J22" s="12">
        <f t="shared" si="6"/>
        <v>72931.03</v>
      </c>
      <c r="K22" s="12">
        <f t="shared" si="6"/>
        <v>84681.57</v>
      </c>
      <c r="L22" s="12">
        <f t="shared" si="6"/>
        <v>84924.27</v>
      </c>
      <c r="M22" s="12">
        <f t="shared" si="6"/>
        <v>78263.850000000006</v>
      </c>
      <c r="N22" s="12">
        <f t="shared" si="6"/>
        <v>86120.89</v>
      </c>
      <c r="O22" s="12">
        <f t="shared" si="6"/>
        <v>90023.74</v>
      </c>
      <c r="P22" s="12">
        <f t="shared" si="6"/>
        <v>101660.45</v>
      </c>
      <c r="Q22" s="12">
        <f t="shared" si="6"/>
        <v>92732.2</v>
      </c>
      <c r="R22" s="12">
        <f t="shared" si="6"/>
        <v>94516.99</v>
      </c>
      <c r="S22" s="12">
        <f t="shared" si="6"/>
        <v>86138.95</v>
      </c>
    </row>
    <row r="23" spans="1:19" ht="180" customHeight="1" x14ac:dyDescent="0.25">
      <c r="A23" s="21" t="s">
        <v>82</v>
      </c>
      <c r="B23" s="51" t="s">
        <v>83</v>
      </c>
      <c r="C23" s="52"/>
      <c r="D23" s="52"/>
      <c r="E23" s="52"/>
      <c r="F23" s="53"/>
      <c r="G23" s="12">
        <v>1042094.4</v>
      </c>
      <c r="H23" s="34">
        <v>93697.75</v>
      </c>
      <c r="I23" s="34">
        <v>76397.14</v>
      </c>
      <c r="J23" s="34">
        <v>72931.03</v>
      </c>
      <c r="K23" s="34">
        <v>84681.57</v>
      </c>
      <c r="L23" s="34">
        <v>84924.27</v>
      </c>
      <c r="M23" s="34">
        <v>78263.850000000006</v>
      </c>
      <c r="N23" s="34">
        <v>86120.89</v>
      </c>
      <c r="O23" s="34">
        <v>90023.74</v>
      </c>
      <c r="P23" s="34">
        <v>101660.45</v>
      </c>
      <c r="Q23" s="34">
        <v>92732.2</v>
      </c>
      <c r="R23" s="34">
        <v>94516.99</v>
      </c>
      <c r="S23" s="34">
        <v>86138.95</v>
      </c>
    </row>
    <row r="24" spans="1:19" ht="136.5" customHeight="1" x14ac:dyDescent="0.25">
      <c r="A24" s="21" t="s">
        <v>84</v>
      </c>
      <c r="B24" s="72" t="s">
        <v>85</v>
      </c>
      <c r="C24" s="52"/>
      <c r="D24" s="52"/>
      <c r="E24" s="52"/>
      <c r="F24" s="53"/>
      <c r="G24" s="12">
        <f>G25</f>
        <v>7659.7</v>
      </c>
      <c r="H24" s="12">
        <f t="shared" ref="H24:S24" si="7">H25</f>
        <v>699.64</v>
      </c>
      <c r="I24" s="12">
        <f t="shared" si="7"/>
        <v>454.5</v>
      </c>
      <c r="J24" s="12">
        <f t="shared" si="7"/>
        <v>543.89</v>
      </c>
      <c r="K24" s="12">
        <f t="shared" si="7"/>
        <v>694.07</v>
      </c>
      <c r="L24" s="12">
        <f t="shared" si="7"/>
        <v>707.77</v>
      </c>
      <c r="M24" s="12">
        <f t="shared" si="7"/>
        <v>624.61</v>
      </c>
      <c r="N24" s="12">
        <f t="shared" si="7"/>
        <v>715.81</v>
      </c>
      <c r="O24" s="12">
        <f t="shared" si="7"/>
        <v>677.82</v>
      </c>
      <c r="P24" s="12">
        <f t="shared" si="7"/>
        <v>726.04</v>
      </c>
      <c r="Q24" s="12">
        <f t="shared" si="7"/>
        <v>596.49</v>
      </c>
      <c r="R24" s="12">
        <f t="shared" si="7"/>
        <v>598.74</v>
      </c>
      <c r="S24" s="12">
        <f t="shared" si="7"/>
        <v>620.25</v>
      </c>
    </row>
    <row r="25" spans="1:19" ht="204" customHeight="1" x14ac:dyDescent="0.25">
      <c r="A25" s="21" t="s">
        <v>86</v>
      </c>
      <c r="B25" s="51" t="s">
        <v>87</v>
      </c>
      <c r="C25" s="52"/>
      <c r="D25" s="52"/>
      <c r="E25" s="52"/>
      <c r="F25" s="53"/>
      <c r="G25" s="12">
        <v>7659.7</v>
      </c>
      <c r="H25" s="34">
        <v>699.64</v>
      </c>
      <c r="I25" s="34">
        <v>454.5</v>
      </c>
      <c r="J25" s="34">
        <v>543.89</v>
      </c>
      <c r="K25" s="34">
        <v>694.07</v>
      </c>
      <c r="L25" s="34">
        <v>707.77</v>
      </c>
      <c r="M25" s="34">
        <v>624.61</v>
      </c>
      <c r="N25" s="34">
        <v>715.81</v>
      </c>
      <c r="O25" s="34">
        <v>677.82</v>
      </c>
      <c r="P25" s="34">
        <v>726.04</v>
      </c>
      <c r="Q25" s="34">
        <v>596.49</v>
      </c>
      <c r="R25" s="34">
        <v>598.74</v>
      </c>
      <c r="S25" s="34">
        <v>620.25</v>
      </c>
    </row>
    <row r="26" spans="1:19" ht="114" customHeight="1" x14ac:dyDescent="0.25">
      <c r="A26" s="21" t="s">
        <v>88</v>
      </c>
      <c r="B26" s="72" t="s">
        <v>89</v>
      </c>
      <c r="C26" s="52"/>
      <c r="D26" s="52"/>
      <c r="E26" s="52"/>
      <c r="F26" s="53"/>
      <c r="G26" s="12">
        <f>G27</f>
        <v>1392364.45</v>
      </c>
      <c r="H26" s="12">
        <f t="shared" ref="H26:S26" si="8">H27</f>
        <v>136373.04999999999</v>
      </c>
      <c r="I26" s="12">
        <f t="shared" si="8"/>
        <v>113462.58</v>
      </c>
      <c r="J26" s="12">
        <f t="shared" si="8"/>
        <v>106490.52</v>
      </c>
      <c r="K26" s="12">
        <f t="shared" si="8"/>
        <v>109494.99</v>
      </c>
      <c r="L26" s="12">
        <f t="shared" si="8"/>
        <v>106882.1</v>
      </c>
      <c r="M26" s="12">
        <f t="shared" si="8"/>
        <v>107549.28</v>
      </c>
      <c r="N26" s="12">
        <f t="shared" si="8"/>
        <v>119444.6</v>
      </c>
      <c r="O26" s="12">
        <f t="shared" si="8"/>
        <v>124070.98</v>
      </c>
      <c r="P26" s="12">
        <f t="shared" si="8"/>
        <v>129805.7</v>
      </c>
      <c r="Q26" s="12">
        <f t="shared" si="8"/>
        <v>117650.43</v>
      </c>
      <c r="R26" s="12">
        <f t="shared" si="8"/>
        <v>112983.35</v>
      </c>
      <c r="S26" s="12">
        <f t="shared" si="8"/>
        <v>108026.62</v>
      </c>
    </row>
    <row r="27" spans="1:19" ht="181.5" customHeight="1" x14ac:dyDescent="0.25">
      <c r="A27" s="21" t="s">
        <v>90</v>
      </c>
      <c r="B27" s="51" t="s">
        <v>91</v>
      </c>
      <c r="C27" s="52"/>
      <c r="D27" s="52"/>
      <c r="E27" s="52"/>
      <c r="F27" s="53"/>
      <c r="G27" s="12">
        <v>1392364.45</v>
      </c>
      <c r="H27" s="34">
        <v>136373.04999999999</v>
      </c>
      <c r="I27" s="34">
        <v>113462.58</v>
      </c>
      <c r="J27" s="34">
        <v>106490.52</v>
      </c>
      <c r="K27" s="34">
        <v>109494.99</v>
      </c>
      <c r="L27" s="34">
        <v>106882.1</v>
      </c>
      <c r="M27" s="34">
        <v>107549.28</v>
      </c>
      <c r="N27" s="34">
        <v>119444.6</v>
      </c>
      <c r="O27" s="34">
        <v>124070.98</v>
      </c>
      <c r="P27" s="34">
        <v>129805.7</v>
      </c>
      <c r="Q27" s="34">
        <v>117650.43</v>
      </c>
      <c r="R27" s="34">
        <v>112983.35</v>
      </c>
      <c r="S27" s="34">
        <v>108026.62</v>
      </c>
    </row>
    <row r="28" spans="1:19" ht="113.25" x14ac:dyDescent="0.25">
      <c r="A28" s="35" t="s">
        <v>339</v>
      </c>
      <c r="B28" s="71" t="s">
        <v>337</v>
      </c>
      <c r="C28" s="47"/>
      <c r="D28" s="47"/>
      <c r="E28" s="47"/>
      <c r="F28" s="47"/>
      <c r="G28" s="12">
        <f>G29</f>
        <v>0</v>
      </c>
      <c r="H28" s="12">
        <f t="shared" ref="H28:S28" si="9">H29</f>
        <v>-16214.59</v>
      </c>
      <c r="I28" s="12">
        <f t="shared" si="9"/>
        <v>-20841.91</v>
      </c>
      <c r="J28" s="12">
        <f t="shared" si="9"/>
        <v>-10772.85</v>
      </c>
      <c r="K28" s="12">
        <f t="shared" si="9"/>
        <v>-19906.919999999998</v>
      </c>
      <c r="L28" s="12">
        <f t="shared" si="9"/>
        <v>-7304.5</v>
      </c>
      <c r="M28" s="12">
        <f t="shared" si="9"/>
        <v>-18463.810000000001</v>
      </c>
      <c r="N28" s="12">
        <f t="shared" si="9"/>
        <v>-9349.52</v>
      </c>
      <c r="O28" s="12">
        <f t="shared" si="9"/>
        <v>-13084.68</v>
      </c>
      <c r="P28" s="12">
        <f t="shared" si="9"/>
        <v>-14071.61</v>
      </c>
      <c r="Q28" s="12">
        <f t="shared" si="9"/>
        <v>-8280.7199999999993</v>
      </c>
      <c r="R28" s="12">
        <f t="shared" si="9"/>
        <v>-5678.68</v>
      </c>
      <c r="S28" s="12">
        <f t="shared" si="9"/>
        <v>-8629.35</v>
      </c>
    </row>
    <row r="29" spans="1:19" ht="180.75" x14ac:dyDescent="0.25">
      <c r="A29" s="35" t="s">
        <v>340</v>
      </c>
      <c r="B29" s="71" t="s">
        <v>338</v>
      </c>
      <c r="C29" s="47"/>
      <c r="D29" s="47"/>
      <c r="E29" s="47"/>
      <c r="F29" s="47"/>
      <c r="G29" s="12">
        <v>0</v>
      </c>
      <c r="H29" s="34">
        <v>-16214.59</v>
      </c>
      <c r="I29" s="34">
        <v>-20841.91</v>
      </c>
      <c r="J29" s="34">
        <v>-10772.85</v>
      </c>
      <c r="K29" s="34">
        <v>-19906.919999999998</v>
      </c>
      <c r="L29" s="34">
        <v>-7304.5</v>
      </c>
      <c r="M29" s="34">
        <v>-18463.810000000001</v>
      </c>
      <c r="N29" s="34">
        <v>-9349.52</v>
      </c>
      <c r="O29" s="34">
        <v>-13084.68</v>
      </c>
      <c r="P29" s="34">
        <v>-14071.61</v>
      </c>
      <c r="Q29" s="34">
        <v>-8280.7199999999993</v>
      </c>
      <c r="R29" s="34">
        <v>-5678.68</v>
      </c>
      <c r="S29" s="34">
        <v>-8629.35</v>
      </c>
    </row>
    <row r="30" spans="1:19" ht="23.25" customHeight="1" x14ac:dyDescent="0.25">
      <c r="A30" s="21" t="s">
        <v>28</v>
      </c>
      <c r="B30" s="51" t="s">
        <v>29</v>
      </c>
      <c r="C30" s="52"/>
      <c r="D30" s="52"/>
      <c r="E30" s="52"/>
      <c r="F30" s="53"/>
      <c r="G30" s="12">
        <f>G37+G31+G40</f>
        <v>2747021</v>
      </c>
      <c r="H30" s="12">
        <f t="shared" ref="H30:S30" si="10">H37+H31+H40</f>
        <v>526154.9</v>
      </c>
      <c r="I30" s="12">
        <f t="shared" si="10"/>
        <v>15</v>
      </c>
      <c r="J30" s="12">
        <f t="shared" si="10"/>
        <v>145284.97999999998</v>
      </c>
      <c r="K30" s="12">
        <f t="shared" si="10"/>
        <v>677289.55</v>
      </c>
      <c r="L30" s="12">
        <f t="shared" si="10"/>
        <v>122450.18</v>
      </c>
      <c r="M30" s="12">
        <f t="shared" si="10"/>
        <v>17972.55</v>
      </c>
      <c r="N30" s="12">
        <f t="shared" si="10"/>
        <v>731805.84</v>
      </c>
      <c r="O30" s="12">
        <f t="shared" si="10"/>
        <v>52468.47</v>
      </c>
      <c r="P30" s="12">
        <f t="shared" si="10"/>
        <v>-16512.399999999998</v>
      </c>
      <c r="Q30" s="12">
        <f t="shared" si="10"/>
        <v>238984.83000000002</v>
      </c>
      <c r="R30" s="12">
        <f t="shared" si="10"/>
        <v>93406.62</v>
      </c>
      <c r="S30" s="12">
        <f t="shared" si="10"/>
        <v>149107.22999999998</v>
      </c>
    </row>
    <row r="31" spans="1:19" ht="33" customHeight="1" x14ac:dyDescent="0.25">
      <c r="A31" s="21" t="s">
        <v>92</v>
      </c>
      <c r="B31" s="51" t="s">
        <v>93</v>
      </c>
      <c r="C31" s="52"/>
      <c r="D31" s="52"/>
      <c r="E31" s="52"/>
      <c r="F31" s="53"/>
      <c r="G31" s="12">
        <f>G32+G34+G36</f>
        <v>684571</v>
      </c>
      <c r="H31" s="12">
        <f t="shared" ref="H31:S31" si="11">H32+H34+H36</f>
        <v>30004.5</v>
      </c>
      <c r="I31" s="12">
        <f t="shared" si="11"/>
        <v>0</v>
      </c>
      <c r="J31" s="12">
        <f t="shared" si="11"/>
        <v>118143</v>
      </c>
      <c r="K31" s="12">
        <f t="shared" si="11"/>
        <v>181007.18</v>
      </c>
      <c r="L31" s="12">
        <f t="shared" si="11"/>
        <v>61461.08</v>
      </c>
      <c r="M31" s="12">
        <f t="shared" si="11"/>
        <v>0</v>
      </c>
      <c r="N31" s="12">
        <f t="shared" si="11"/>
        <v>326313.82999999996</v>
      </c>
      <c r="O31" s="12">
        <f t="shared" si="11"/>
        <v>10324.969999999999</v>
      </c>
      <c r="P31" s="12">
        <f t="shared" si="11"/>
        <v>-17910.059999999998</v>
      </c>
      <c r="Q31" s="12">
        <f t="shared" si="11"/>
        <v>-154151</v>
      </c>
      <c r="R31" s="12">
        <f t="shared" si="11"/>
        <v>0</v>
      </c>
      <c r="S31" s="12">
        <f t="shared" si="11"/>
        <v>121577.48</v>
      </c>
    </row>
    <row r="32" spans="1:19" ht="47.25" customHeight="1" x14ac:dyDescent="0.25">
      <c r="A32" s="21" t="s">
        <v>94</v>
      </c>
      <c r="B32" s="51" t="s">
        <v>95</v>
      </c>
      <c r="C32" s="52"/>
      <c r="D32" s="52"/>
      <c r="E32" s="52"/>
      <c r="F32" s="53"/>
      <c r="G32" s="12">
        <f>G33</f>
        <v>401000</v>
      </c>
      <c r="H32" s="12">
        <f t="shared" ref="H32:S32" si="12">H33</f>
        <v>30004.5</v>
      </c>
      <c r="I32" s="12">
        <f t="shared" si="12"/>
        <v>0</v>
      </c>
      <c r="J32" s="12">
        <f t="shared" si="12"/>
        <v>118143</v>
      </c>
      <c r="K32" s="12">
        <f t="shared" si="12"/>
        <v>84187.18</v>
      </c>
      <c r="L32" s="12">
        <f t="shared" si="12"/>
        <v>2156.08</v>
      </c>
      <c r="M32" s="12">
        <f t="shared" si="12"/>
        <v>0</v>
      </c>
      <c r="N32" s="12">
        <f t="shared" si="12"/>
        <v>198150.83</v>
      </c>
      <c r="O32" s="12">
        <f t="shared" si="12"/>
        <v>10324.969999999999</v>
      </c>
      <c r="P32" s="12">
        <f t="shared" si="12"/>
        <v>30010</v>
      </c>
      <c r="Q32" s="12">
        <f t="shared" si="12"/>
        <v>-201490</v>
      </c>
      <c r="R32" s="12">
        <f t="shared" si="12"/>
        <v>0</v>
      </c>
      <c r="S32" s="12">
        <f t="shared" si="12"/>
        <v>128234.59</v>
      </c>
    </row>
    <row r="33" spans="1:19" ht="45.75" customHeight="1" x14ac:dyDescent="0.25">
      <c r="A33" s="21" t="s">
        <v>94</v>
      </c>
      <c r="B33" s="51" t="s">
        <v>96</v>
      </c>
      <c r="C33" s="52"/>
      <c r="D33" s="52"/>
      <c r="E33" s="52"/>
      <c r="F33" s="53"/>
      <c r="G33" s="12">
        <v>401000</v>
      </c>
      <c r="H33" s="34">
        <v>30004.5</v>
      </c>
      <c r="I33" s="34">
        <v>0</v>
      </c>
      <c r="J33" s="34">
        <v>118143</v>
      </c>
      <c r="K33" s="34">
        <v>84187.18</v>
      </c>
      <c r="L33" s="34">
        <v>2156.08</v>
      </c>
      <c r="M33" s="34">
        <v>0</v>
      </c>
      <c r="N33" s="34">
        <v>198150.83</v>
      </c>
      <c r="O33" s="34">
        <v>10324.969999999999</v>
      </c>
      <c r="P33" s="34">
        <v>30010</v>
      </c>
      <c r="Q33" s="34">
        <v>-201490</v>
      </c>
      <c r="R33" s="34">
        <v>0</v>
      </c>
      <c r="S33" s="34">
        <v>128234.59</v>
      </c>
    </row>
    <row r="34" spans="1:19" ht="66.75" customHeight="1" x14ac:dyDescent="0.25">
      <c r="A34" s="21" t="s">
        <v>97</v>
      </c>
      <c r="B34" s="51" t="s">
        <v>98</v>
      </c>
      <c r="C34" s="52"/>
      <c r="D34" s="52"/>
      <c r="E34" s="52"/>
      <c r="F34" s="53"/>
      <c r="G34" s="12">
        <f>G35</f>
        <v>283571</v>
      </c>
      <c r="H34" s="12">
        <f t="shared" ref="H34:S34" si="13">H35</f>
        <v>0</v>
      </c>
      <c r="I34" s="12">
        <f t="shared" si="13"/>
        <v>0</v>
      </c>
      <c r="J34" s="12">
        <f t="shared" si="13"/>
        <v>0</v>
      </c>
      <c r="K34" s="12">
        <f t="shared" si="13"/>
        <v>96820</v>
      </c>
      <c r="L34" s="12">
        <f t="shared" si="13"/>
        <v>0</v>
      </c>
      <c r="M34" s="12">
        <f t="shared" si="13"/>
        <v>0</v>
      </c>
      <c r="N34" s="12">
        <f t="shared" si="13"/>
        <v>187468</v>
      </c>
      <c r="O34" s="12">
        <f t="shared" si="13"/>
        <v>0</v>
      </c>
      <c r="P34" s="12">
        <f t="shared" si="13"/>
        <v>-47920.06</v>
      </c>
      <c r="Q34" s="12">
        <f t="shared" si="13"/>
        <v>47339</v>
      </c>
      <c r="R34" s="12">
        <f t="shared" si="13"/>
        <v>0</v>
      </c>
      <c r="S34" s="12">
        <f t="shared" si="13"/>
        <v>-6657.11</v>
      </c>
    </row>
    <row r="35" spans="1:19" ht="111.75" customHeight="1" x14ac:dyDescent="0.25">
      <c r="A35" s="21" t="s">
        <v>99</v>
      </c>
      <c r="B35" s="51" t="s">
        <v>100</v>
      </c>
      <c r="C35" s="52"/>
      <c r="D35" s="52"/>
      <c r="E35" s="52"/>
      <c r="F35" s="53"/>
      <c r="G35" s="12">
        <v>283571</v>
      </c>
      <c r="H35" s="34">
        <v>0</v>
      </c>
      <c r="I35" s="34">
        <v>0</v>
      </c>
      <c r="J35" s="34">
        <v>0</v>
      </c>
      <c r="K35" s="34">
        <v>96820</v>
      </c>
      <c r="L35" s="34">
        <v>0</v>
      </c>
      <c r="M35" s="34">
        <v>0</v>
      </c>
      <c r="N35" s="34">
        <v>187468</v>
      </c>
      <c r="O35" s="34">
        <v>0</v>
      </c>
      <c r="P35" s="34">
        <v>-47920.06</v>
      </c>
      <c r="Q35" s="34">
        <v>47339</v>
      </c>
      <c r="R35" s="34">
        <v>0</v>
      </c>
      <c r="S35" s="34">
        <v>-6657.11</v>
      </c>
    </row>
    <row r="36" spans="1:19" ht="66" customHeight="1" x14ac:dyDescent="0.25">
      <c r="A36" s="21" t="s">
        <v>101</v>
      </c>
      <c r="B36" s="51" t="s">
        <v>102</v>
      </c>
      <c r="C36" s="52"/>
      <c r="D36" s="52"/>
      <c r="E36" s="52"/>
      <c r="F36" s="53"/>
      <c r="G36" s="12">
        <v>0</v>
      </c>
      <c r="H36" s="34">
        <v>0</v>
      </c>
      <c r="I36" s="34">
        <v>0</v>
      </c>
      <c r="J36" s="34">
        <f t="shared" ref="J36" si="14">TRUNC((G36-SUM(H36:I36))/10,2)</f>
        <v>0</v>
      </c>
      <c r="K36" s="34">
        <f t="shared" ref="K36" si="15">TRUNC((G36-SUM(H36:J36))/9,2)</f>
        <v>0</v>
      </c>
      <c r="L36" s="34">
        <v>59305</v>
      </c>
      <c r="M36" s="34">
        <v>0</v>
      </c>
      <c r="N36" s="34">
        <v>-59305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</row>
    <row r="37" spans="1:19" ht="33" customHeight="1" x14ac:dyDescent="0.25">
      <c r="A37" s="21" t="s">
        <v>103</v>
      </c>
      <c r="B37" s="51" t="s">
        <v>104</v>
      </c>
      <c r="C37" s="52"/>
      <c r="D37" s="52"/>
      <c r="E37" s="52"/>
      <c r="F37" s="53"/>
      <c r="G37" s="12">
        <f>G38+G39</f>
        <v>1966600</v>
      </c>
      <c r="H37" s="12">
        <f t="shared" ref="H37:S37" si="16">H38+H39</f>
        <v>473598</v>
      </c>
      <c r="I37" s="12">
        <f t="shared" si="16"/>
        <v>15</v>
      </c>
      <c r="J37" s="12">
        <f t="shared" si="16"/>
        <v>7398.48</v>
      </c>
      <c r="K37" s="12">
        <f t="shared" si="16"/>
        <v>468949.37</v>
      </c>
      <c r="L37" s="12">
        <f t="shared" si="16"/>
        <v>46980.32</v>
      </c>
      <c r="M37" s="12">
        <f t="shared" si="16"/>
        <v>17971</v>
      </c>
      <c r="N37" s="12">
        <f t="shared" si="16"/>
        <v>392992.01</v>
      </c>
      <c r="O37" s="12">
        <f t="shared" si="16"/>
        <v>42079.9</v>
      </c>
      <c r="P37" s="12">
        <f t="shared" si="16"/>
        <v>1397.66</v>
      </c>
      <c r="Q37" s="12">
        <f>Q38+Q39</f>
        <v>389135.83</v>
      </c>
      <c r="R37" s="12">
        <f t="shared" si="16"/>
        <v>92006.62</v>
      </c>
      <c r="S37" s="12">
        <f t="shared" si="16"/>
        <v>33529.75</v>
      </c>
    </row>
    <row r="38" spans="1:19" ht="33" customHeight="1" x14ac:dyDescent="0.25">
      <c r="A38" s="21" t="s">
        <v>103</v>
      </c>
      <c r="B38" s="51" t="s">
        <v>105</v>
      </c>
      <c r="C38" s="52"/>
      <c r="D38" s="52"/>
      <c r="E38" s="52"/>
      <c r="F38" s="53"/>
      <c r="G38" s="12">
        <v>1966600</v>
      </c>
      <c r="H38" s="34">
        <v>473598</v>
      </c>
      <c r="I38" s="34">
        <v>15</v>
      </c>
      <c r="J38" s="34">
        <v>7398.48</v>
      </c>
      <c r="K38" s="34">
        <v>468949.37</v>
      </c>
      <c r="L38" s="34">
        <v>46980.32</v>
      </c>
      <c r="M38" s="34">
        <v>17971</v>
      </c>
      <c r="N38" s="34">
        <v>392992.01</v>
      </c>
      <c r="O38" s="34">
        <v>42079.9</v>
      </c>
      <c r="P38" s="34">
        <v>1397.66</v>
      </c>
      <c r="Q38" s="34">
        <v>389135.83</v>
      </c>
      <c r="R38" s="34">
        <v>92006.62</v>
      </c>
      <c r="S38" s="34">
        <v>33529.75</v>
      </c>
    </row>
    <row r="39" spans="1:19" ht="57" customHeight="1" x14ac:dyDescent="0.25">
      <c r="A39" s="21" t="s">
        <v>106</v>
      </c>
      <c r="B39" s="51" t="s">
        <v>107</v>
      </c>
      <c r="C39" s="52"/>
      <c r="D39" s="52"/>
      <c r="E39" s="52"/>
      <c r="F39" s="53"/>
      <c r="G39" s="12">
        <v>0</v>
      </c>
      <c r="H39" s="34">
        <v>0</v>
      </c>
      <c r="I39" s="34">
        <f t="shared" ref="I39" si="17">TRUNC((G39-H39)/11,2)</f>
        <v>0</v>
      </c>
      <c r="J39" s="34">
        <f t="shared" ref="J39" si="18">TRUNC((G39-SUM(H39:I39))/10,2)</f>
        <v>0</v>
      </c>
      <c r="K39" s="34">
        <f t="shared" ref="K39" si="19">TRUNC((G39-SUM(H39:J39))/9,2)</f>
        <v>0</v>
      </c>
      <c r="L39" s="34">
        <f t="shared" ref="L39" si="20">TRUNC((G39-SUM(H39:K39))/8,2)</f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</row>
    <row r="40" spans="1:19" ht="33" customHeight="1" x14ac:dyDescent="0.25">
      <c r="A40" s="21" t="s">
        <v>108</v>
      </c>
      <c r="B40" s="51" t="s">
        <v>109</v>
      </c>
      <c r="C40" s="52"/>
      <c r="D40" s="52"/>
      <c r="E40" s="52"/>
      <c r="F40" s="53"/>
      <c r="G40" s="12">
        <f>G41</f>
        <v>95850</v>
      </c>
      <c r="H40" s="12">
        <f t="shared" ref="H40:S40" si="21">H41</f>
        <v>22552.400000000001</v>
      </c>
      <c r="I40" s="12">
        <f t="shared" si="21"/>
        <v>0</v>
      </c>
      <c r="J40" s="12">
        <f t="shared" si="21"/>
        <v>19743.5</v>
      </c>
      <c r="K40" s="12">
        <f t="shared" si="21"/>
        <v>27333</v>
      </c>
      <c r="L40" s="12">
        <f t="shared" si="21"/>
        <v>14008.78</v>
      </c>
      <c r="M40" s="12">
        <f t="shared" si="21"/>
        <v>1.55</v>
      </c>
      <c r="N40" s="12">
        <f t="shared" si="21"/>
        <v>12500</v>
      </c>
      <c r="O40" s="12">
        <f t="shared" si="21"/>
        <v>63.6</v>
      </c>
      <c r="P40" s="12">
        <f t="shared" si="21"/>
        <v>0</v>
      </c>
      <c r="Q40" s="12">
        <f t="shared" si="21"/>
        <v>4000</v>
      </c>
      <c r="R40" s="12">
        <f t="shared" si="21"/>
        <v>1400</v>
      </c>
      <c r="S40" s="12">
        <f t="shared" si="21"/>
        <v>-6000</v>
      </c>
    </row>
    <row r="41" spans="1:19" ht="57" customHeight="1" x14ac:dyDescent="0.25">
      <c r="A41" s="21" t="s">
        <v>110</v>
      </c>
      <c r="B41" s="51" t="s">
        <v>111</v>
      </c>
      <c r="C41" s="52"/>
      <c r="D41" s="52"/>
      <c r="E41" s="52"/>
      <c r="F41" s="53"/>
      <c r="G41" s="12">
        <v>95850</v>
      </c>
      <c r="H41" s="34">
        <v>22552.400000000001</v>
      </c>
      <c r="I41" s="34">
        <v>0</v>
      </c>
      <c r="J41" s="34">
        <v>19743.5</v>
      </c>
      <c r="K41" s="34">
        <v>27333</v>
      </c>
      <c r="L41" s="34">
        <v>14008.78</v>
      </c>
      <c r="M41" s="34">
        <v>1.55</v>
      </c>
      <c r="N41" s="34">
        <v>12500</v>
      </c>
      <c r="O41" s="34">
        <v>63.6</v>
      </c>
      <c r="P41" s="34">
        <v>0</v>
      </c>
      <c r="Q41" s="34">
        <v>4000</v>
      </c>
      <c r="R41" s="34">
        <v>1400</v>
      </c>
      <c r="S41" s="34">
        <v>-6000</v>
      </c>
    </row>
    <row r="42" spans="1:19" ht="15" customHeight="1" x14ac:dyDescent="0.25">
      <c r="A42" s="21" t="s">
        <v>30</v>
      </c>
      <c r="B42" s="51" t="s">
        <v>31</v>
      </c>
      <c r="C42" s="42"/>
      <c r="D42" s="42"/>
      <c r="E42" s="42"/>
      <c r="F42" s="43"/>
      <c r="G42" s="12">
        <f>G43+G45</f>
        <v>74560</v>
      </c>
      <c r="H42" s="12">
        <f t="shared" ref="H42:S42" si="22">H43+H45</f>
        <v>6606.13</v>
      </c>
      <c r="I42" s="12">
        <f t="shared" si="22"/>
        <v>4.0599999999999996</v>
      </c>
      <c r="J42" s="12">
        <f t="shared" si="22"/>
        <v>0</v>
      </c>
      <c r="K42" s="12">
        <f t="shared" si="22"/>
        <v>41227</v>
      </c>
      <c r="L42" s="12">
        <f t="shared" si="22"/>
        <v>3</v>
      </c>
      <c r="M42" s="12">
        <f t="shared" si="22"/>
        <v>0.35</v>
      </c>
      <c r="N42" s="12">
        <f t="shared" si="22"/>
        <v>24111.13</v>
      </c>
      <c r="O42" s="12">
        <f t="shared" si="22"/>
        <v>-91</v>
      </c>
      <c r="P42" s="12">
        <f t="shared" si="22"/>
        <v>2513.0100000000002</v>
      </c>
      <c r="Q42" s="12">
        <f t="shared" si="22"/>
        <v>-203.64</v>
      </c>
      <c r="R42" s="12">
        <f t="shared" si="22"/>
        <v>-399.77</v>
      </c>
      <c r="S42" s="12">
        <f t="shared" si="22"/>
        <v>0.2</v>
      </c>
    </row>
    <row r="43" spans="1:19" ht="22.5" x14ac:dyDescent="0.25">
      <c r="A43" s="21" t="s">
        <v>112</v>
      </c>
      <c r="B43" s="51" t="s">
        <v>113</v>
      </c>
      <c r="C43" s="42"/>
      <c r="D43" s="42"/>
      <c r="E43" s="42"/>
      <c r="F43" s="43"/>
      <c r="G43" s="12">
        <f>G44</f>
        <v>2000</v>
      </c>
      <c r="H43" s="12">
        <f t="shared" ref="H43:S43" si="23">H44</f>
        <v>486</v>
      </c>
      <c r="I43" s="12">
        <f t="shared" si="23"/>
        <v>0.06</v>
      </c>
      <c r="J43" s="12">
        <f t="shared" si="23"/>
        <v>0</v>
      </c>
      <c r="K43" s="12">
        <f t="shared" si="23"/>
        <v>0</v>
      </c>
      <c r="L43" s="12">
        <f t="shared" si="23"/>
        <v>0</v>
      </c>
      <c r="M43" s="12">
        <f t="shared" si="23"/>
        <v>0.35</v>
      </c>
      <c r="N43" s="12">
        <f t="shared" si="23"/>
        <v>0</v>
      </c>
      <c r="O43" s="12">
        <f t="shared" si="23"/>
        <v>-91</v>
      </c>
      <c r="P43" s="12">
        <f t="shared" si="23"/>
        <v>2263.0100000000002</v>
      </c>
      <c r="Q43" s="12">
        <f t="shared" si="23"/>
        <v>-203.64</v>
      </c>
      <c r="R43" s="12">
        <f t="shared" si="23"/>
        <v>-649.77</v>
      </c>
      <c r="S43" s="12">
        <f t="shared" si="23"/>
        <v>0.2</v>
      </c>
    </row>
    <row r="44" spans="1:19" ht="69" customHeight="1" x14ac:dyDescent="0.25">
      <c r="A44" s="21" t="s">
        <v>114</v>
      </c>
      <c r="B44" s="41" t="s">
        <v>115</v>
      </c>
      <c r="C44" s="42"/>
      <c r="D44" s="42"/>
      <c r="E44" s="42"/>
      <c r="F44" s="43"/>
      <c r="G44" s="12">
        <v>2000</v>
      </c>
      <c r="H44" s="34">
        <v>486</v>
      </c>
      <c r="I44" s="34">
        <v>0.06</v>
      </c>
      <c r="J44" s="34">
        <v>0</v>
      </c>
      <c r="K44" s="34">
        <v>0</v>
      </c>
      <c r="L44" s="34">
        <v>0</v>
      </c>
      <c r="M44" s="34">
        <v>0.35</v>
      </c>
      <c r="N44" s="34">
        <v>0</v>
      </c>
      <c r="O44" s="34">
        <v>-91</v>
      </c>
      <c r="P44" s="34">
        <v>2263.0100000000002</v>
      </c>
      <c r="Q44" s="34">
        <v>-203.64</v>
      </c>
      <c r="R44" s="34">
        <v>-649.77</v>
      </c>
      <c r="S44" s="34">
        <v>0.2</v>
      </c>
    </row>
    <row r="45" spans="1:19" x14ac:dyDescent="0.25">
      <c r="A45" s="21" t="s">
        <v>116</v>
      </c>
      <c r="B45" s="41" t="s">
        <v>117</v>
      </c>
      <c r="C45" s="42"/>
      <c r="D45" s="42"/>
      <c r="E45" s="42"/>
      <c r="F45" s="43"/>
      <c r="G45" s="12">
        <f>G46+G48</f>
        <v>72560</v>
      </c>
      <c r="H45" s="12">
        <f t="shared" ref="H45:S45" si="24">H46+H48</f>
        <v>6120.13</v>
      </c>
      <c r="I45" s="12">
        <f t="shared" si="24"/>
        <v>4</v>
      </c>
      <c r="J45" s="12">
        <f t="shared" si="24"/>
        <v>0</v>
      </c>
      <c r="K45" s="12">
        <f t="shared" si="24"/>
        <v>41227</v>
      </c>
      <c r="L45" s="12">
        <f t="shared" si="24"/>
        <v>3</v>
      </c>
      <c r="M45" s="12">
        <f t="shared" si="24"/>
        <v>0</v>
      </c>
      <c r="N45" s="12">
        <f t="shared" si="24"/>
        <v>24111.13</v>
      </c>
      <c r="O45" s="12">
        <f t="shared" si="24"/>
        <v>0</v>
      </c>
      <c r="P45" s="12">
        <f t="shared" si="24"/>
        <v>250</v>
      </c>
      <c r="Q45" s="12">
        <f t="shared" si="24"/>
        <v>0</v>
      </c>
      <c r="R45" s="12">
        <f t="shared" si="24"/>
        <v>250</v>
      </c>
      <c r="S45" s="12">
        <f t="shared" si="24"/>
        <v>0</v>
      </c>
    </row>
    <row r="46" spans="1:19" ht="22.5" x14ac:dyDescent="0.25">
      <c r="A46" s="21" t="s">
        <v>118</v>
      </c>
      <c r="B46" s="41" t="s">
        <v>119</v>
      </c>
      <c r="C46" s="42"/>
      <c r="D46" s="42"/>
      <c r="E46" s="42"/>
      <c r="F46" s="43"/>
      <c r="G46" s="12">
        <f>G47</f>
        <v>72560</v>
      </c>
      <c r="H46" s="12">
        <f t="shared" ref="H46:R46" si="25">H47</f>
        <v>6120.13</v>
      </c>
      <c r="I46" s="12">
        <f t="shared" si="25"/>
        <v>4</v>
      </c>
      <c r="J46" s="12">
        <f t="shared" si="25"/>
        <v>0</v>
      </c>
      <c r="K46" s="12">
        <f t="shared" si="25"/>
        <v>41227</v>
      </c>
      <c r="L46" s="12">
        <f t="shared" si="25"/>
        <v>3</v>
      </c>
      <c r="M46" s="12">
        <f t="shared" si="25"/>
        <v>0</v>
      </c>
      <c r="N46" s="12">
        <f t="shared" si="25"/>
        <v>24486.13</v>
      </c>
      <c r="O46" s="12">
        <f t="shared" si="25"/>
        <v>0</v>
      </c>
      <c r="P46" s="12">
        <f t="shared" si="25"/>
        <v>250</v>
      </c>
      <c r="Q46" s="12">
        <f t="shared" si="25"/>
        <v>0</v>
      </c>
      <c r="R46" s="12">
        <f t="shared" si="25"/>
        <v>250</v>
      </c>
      <c r="S46" s="12">
        <f>S47</f>
        <v>0</v>
      </c>
    </row>
    <row r="47" spans="1:19" ht="57" customHeight="1" x14ac:dyDescent="0.25">
      <c r="A47" s="21" t="s">
        <v>120</v>
      </c>
      <c r="B47" s="41" t="s">
        <v>121</v>
      </c>
      <c r="C47" s="42"/>
      <c r="D47" s="42"/>
      <c r="E47" s="42"/>
      <c r="F47" s="43"/>
      <c r="G47" s="12">
        <v>72560</v>
      </c>
      <c r="H47" s="34">
        <v>6120.13</v>
      </c>
      <c r="I47" s="34">
        <v>4</v>
      </c>
      <c r="J47" s="34">
        <v>0</v>
      </c>
      <c r="K47" s="34">
        <v>41227</v>
      </c>
      <c r="L47" s="34">
        <v>3</v>
      </c>
      <c r="M47" s="34">
        <v>0</v>
      </c>
      <c r="N47" s="34">
        <v>24486.13</v>
      </c>
      <c r="O47" s="34">
        <v>0</v>
      </c>
      <c r="P47" s="34">
        <v>250</v>
      </c>
      <c r="Q47" s="34">
        <v>0</v>
      </c>
      <c r="R47" s="34">
        <v>250</v>
      </c>
      <c r="S47" s="34">
        <v>0</v>
      </c>
    </row>
    <row r="48" spans="1:19" ht="23.25" x14ac:dyDescent="0.25">
      <c r="A48" s="35" t="s">
        <v>335</v>
      </c>
      <c r="B48" s="71" t="s">
        <v>333</v>
      </c>
      <c r="C48" s="47"/>
      <c r="D48" s="47"/>
      <c r="E48" s="47"/>
      <c r="F48" s="47"/>
      <c r="G48" s="12">
        <f>G49</f>
        <v>0</v>
      </c>
      <c r="H48" s="12">
        <f t="shared" ref="H48:S48" si="26">H49</f>
        <v>0</v>
      </c>
      <c r="I48" s="12">
        <f t="shared" si="26"/>
        <v>0</v>
      </c>
      <c r="J48" s="12">
        <f t="shared" si="26"/>
        <v>0</v>
      </c>
      <c r="K48" s="12">
        <f t="shared" si="26"/>
        <v>0</v>
      </c>
      <c r="L48" s="12">
        <f t="shared" si="26"/>
        <v>0</v>
      </c>
      <c r="M48" s="12">
        <f t="shared" si="26"/>
        <v>0</v>
      </c>
      <c r="N48" s="12">
        <f t="shared" si="26"/>
        <v>-375</v>
      </c>
      <c r="O48" s="12">
        <f t="shared" si="26"/>
        <v>0</v>
      </c>
      <c r="P48" s="12">
        <f t="shared" si="26"/>
        <v>0</v>
      </c>
      <c r="Q48" s="12">
        <f t="shared" si="26"/>
        <v>0</v>
      </c>
      <c r="R48" s="12">
        <f>R49</f>
        <v>0</v>
      </c>
      <c r="S48" s="12">
        <f t="shared" si="26"/>
        <v>0</v>
      </c>
    </row>
    <row r="49" spans="1:20" ht="48" customHeight="1" x14ac:dyDescent="0.25">
      <c r="A49" s="35" t="s">
        <v>336</v>
      </c>
      <c r="B49" s="71" t="s">
        <v>334</v>
      </c>
      <c r="C49" s="47"/>
      <c r="D49" s="47"/>
      <c r="E49" s="47"/>
      <c r="F49" s="47"/>
      <c r="G49" s="12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-375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</row>
    <row r="50" spans="1:20" ht="22.5" x14ac:dyDescent="0.25">
      <c r="A50" s="21" t="s">
        <v>32</v>
      </c>
      <c r="B50" s="41" t="s">
        <v>33</v>
      </c>
      <c r="C50" s="42"/>
      <c r="D50" s="42"/>
      <c r="E50" s="42"/>
      <c r="F50" s="43"/>
      <c r="G50" s="12">
        <f>G51</f>
        <v>195330</v>
      </c>
      <c r="H50" s="12">
        <f t="shared" ref="H50:S50" si="27">H51</f>
        <v>5214.6499999999996</v>
      </c>
      <c r="I50" s="12">
        <f t="shared" si="27"/>
        <v>11479.02</v>
      </c>
      <c r="J50" s="12">
        <f t="shared" si="27"/>
        <v>8439.76</v>
      </c>
      <c r="K50" s="12">
        <f t="shared" si="27"/>
        <v>16132.02</v>
      </c>
      <c r="L50" s="12">
        <f t="shared" si="27"/>
        <v>15426.68</v>
      </c>
      <c r="M50" s="12">
        <f t="shared" si="27"/>
        <v>11568.59</v>
      </c>
      <c r="N50" s="12">
        <f t="shared" si="27"/>
        <v>8878.1299999999992</v>
      </c>
      <c r="O50" s="12">
        <f t="shared" si="27"/>
        <v>25051.72</v>
      </c>
      <c r="P50" s="12">
        <f t="shared" si="27"/>
        <v>33016.79</v>
      </c>
      <c r="Q50" s="12">
        <f t="shared" si="27"/>
        <v>15218.86</v>
      </c>
      <c r="R50" s="12">
        <f t="shared" si="27"/>
        <v>21899.09</v>
      </c>
      <c r="S50" s="12">
        <f t="shared" si="27"/>
        <v>22994.38</v>
      </c>
    </row>
    <row r="51" spans="1:20" ht="45.75" customHeight="1" x14ac:dyDescent="0.25">
      <c r="A51" s="21" t="s">
        <v>122</v>
      </c>
      <c r="B51" s="41" t="s">
        <v>123</v>
      </c>
      <c r="C51" s="42"/>
      <c r="D51" s="42"/>
      <c r="E51" s="42"/>
      <c r="F51" s="43"/>
      <c r="G51" s="12">
        <f>G52</f>
        <v>195330</v>
      </c>
      <c r="H51" s="12">
        <f t="shared" ref="H51:S51" si="28">H52</f>
        <v>5214.6499999999996</v>
      </c>
      <c r="I51" s="12">
        <f t="shared" si="28"/>
        <v>11479.02</v>
      </c>
      <c r="J51" s="12">
        <f t="shared" si="28"/>
        <v>8439.76</v>
      </c>
      <c r="K51" s="12">
        <f t="shared" si="28"/>
        <v>16132.02</v>
      </c>
      <c r="L51" s="12">
        <f t="shared" si="28"/>
        <v>15426.68</v>
      </c>
      <c r="M51" s="12">
        <f t="shared" si="28"/>
        <v>11568.59</v>
      </c>
      <c r="N51" s="12">
        <f t="shared" si="28"/>
        <v>8878.1299999999992</v>
      </c>
      <c r="O51" s="12">
        <f t="shared" si="28"/>
        <v>25051.72</v>
      </c>
      <c r="P51" s="12">
        <f t="shared" si="28"/>
        <v>33016.79</v>
      </c>
      <c r="Q51" s="12">
        <f t="shared" si="28"/>
        <v>15218.86</v>
      </c>
      <c r="R51" s="12">
        <f>R52</f>
        <v>21899.09</v>
      </c>
      <c r="S51" s="12">
        <f t="shared" si="28"/>
        <v>22994.38</v>
      </c>
    </row>
    <row r="52" spans="1:20" ht="67.5" customHeight="1" x14ac:dyDescent="0.25">
      <c r="A52" s="21" t="s">
        <v>124</v>
      </c>
      <c r="B52" s="41" t="s">
        <v>125</v>
      </c>
      <c r="C52" s="42"/>
      <c r="D52" s="42"/>
      <c r="E52" s="42"/>
      <c r="F52" s="43"/>
      <c r="G52" s="12">
        <v>195330</v>
      </c>
      <c r="H52" s="34">
        <v>5214.6499999999996</v>
      </c>
      <c r="I52" s="34">
        <v>11479.02</v>
      </c>
      <c r="J52" s="34">
        <v>8439.76</v>
      </c>
      <c r="K52" s="34">
        <v>16132.02</v>
      </c>
      <c r="L52" s="34">
        <v>15426.68</v>
      </c>
      <c r="M52" s="34">
        <v>11568.59</v>
      </c>
      <c r="N52" s="34">
        <v>8878.1299999999992</v>
      </c>
      <c r="O52" s="34">
        <v>25051.72</v>
      </c>
      <c r="P52" s="34">
        <v>33016.79</v>
      </c>
      <c r="Q52" s="34">
        <v>15218.86</v>
      </c>
      <c r="R52" s="34">
        <v>21899.09</v>
      </c>
      <c r="S52" s="34">
        <v>22994.38</v>
      </c>
    </row>
    <row r="53" spans="1:20" ht="15" customHeight="1" x14ac:dyDescent="0.25">
      <c r="A53" s="21" t="s">
        <v>126</v>
      </c>
      <c r="B53" s="45"/>
      <c r="C53" s="42"/>
      <c r="D53" s="42"/>
      <c r="E53" s="42"/>
      <c r="F53" s="43"/>
      <c r="G53" s="12">
        <f>G54+G73+G65+G69+G87</f>
        <v>13981955.199999999</v>
      </c>
      <c r="H53" s="12">
        <f t="shared" ref="H53:S53" si="29">H54+H73+H65+H69+H87</f>
        <v>1317528.56</v>
      </c>
      <c r="I53" s="12">
        <f t="shared" si="29"/>
        <v>938732.77</v>
      </c>
      <c r="J53" s="12">
        <f t="shared" si="29"/>
        <v>1198670.8400000001</v>
      </c>
      <c r="K53" s="12">
        <f t="shared" si="29"/>
        <v>1000462.31</v>
      </c>
      <c r="L53" s="12">
        <f t="shared" si="29"/>
        <v>920042.45000000007</v>
      </c>
      <c r="M53" s="12">
        <f t="shared" si="29"/>
        <v>1110133.1399999999</v>
      </c>
      <c r="N53" s="12">
        <f t="shared" si="29"/>
        <v>1115485.8199999998</v>
      </c>
      <c r="O53" s="12">
        <f t="shared" si="29"/>
        <v>810356.02</v>
      </c>
      <c r="P53" s="12">
        <f t="shared" si="29"/>
        <v>1430284.76</v>
      </c>
      <c r="Q53" s="12">
        <f t="shared" si="29"/>
        <v>1530430.5</v>
      </c>
      <c r="R53" s="12">
        <f t="shared" si="29"/>
        <v>962224.45</v>
      </c>
      <c r="S53" s="12">
        <f t="shared" si="29"/>
        <v>1528910.35</v>
      </c>
    </row>
    <row r="54" spans="1:20" ht="79.5" customHeight="1" x14ac:dyDescent="0.25">
      <c r="A54" s="21" t="s">
        <v>34</v>
      </c>
      <c r="B54" s="44" t="s">
        <v>35</v>
      </c>
      <c r="C54" s="42"/>
      <c r="D54" s="42"/>
      <c r="E54" s="42"/>
      <c r="F54" s="43"/>
      <c r="G54" s="12">
        <f>G55+G62</f>
        <v>13047850</v>
      </c>
      <c r="H54" s="12">
        <f t="shared" ref="H54:S54" si="30">H55+H62</f>
        <v>1123320.52</v>
      </c>
      <c r="I54" s="12">
        <f t="shared" si="30"/>
        <v>906085.07000000007</v>
      </c>
      <c r="J54" s="12">
        <f t="shared" si="30"/>
        <v>1107225.08</v>
      </c>
      <c r="K54" s="12">
        <f t="shared" si="30"/>
        <v>973935.71</v>
      </c>
      <c r="L54" s="12">
        <f t="shared" si="30"/>
        <v>903188.07000000007</v>
      </c>
      <c r="M54" s="12">
        <f t="shared" si="30"/>
        <v>1080736.6299999999</v>
      </c>
      <c r="N54" s="12">
        <f t="shared" si="30"/>
        <v>957500.4</v>
      </c>
      <c r="O54" s="12">
        <f t="shared" si="30"/>
        <v>781167.1</v>
      </c>
      <c r="P54" s="12">
        <f t="shared" si="30"/>
        <v>1289357.23</v>
      </c>
      <c r="Q54" s="12">
        <f t="shared" si="30"/>
        <v>1486230.13</v>
      </c>
      <c r="R54" s="12">
        <f t="shared" si="30"/>
        <v>949124.45</v>
      </c>
      <c r="S54" s="12">
        <f t="shared" si="30"/>
        <v>1488450.1400000001</v>
      </c>
    </row>
    <row r="55" spans="1:20" ht="135" customHeight="1" x14ac:dyDescent="0.25">
      <c r="A55" s="21" t="s">
        <v>36</v>
      </c>
      <c r="B55" s="44" t="s">
        <v>308</v>
      </c>
      <c r="C55" s="42"/>
      <c r="D55" s="42"/>
      <c r="E55" s="42"/>
      <c r="F55" s="43"/>
      <c r="G55" s="12">
        <f>G56+G58+G60</f>
        <v>5487850</v>
      </c>
      <c r="H55" s="12">
        <f t="shared" ref="H55:S55" si="31">H56+H58+H60</f>
        <v>331133.92</v>
      </c>
      <c r="I55" s="12">
        <f t="shared" si="31"/>
        <v>364096.05000000005</v>
      </c>
      <c r="J55" s="12">
        <f t="shared" si="31"/>
        <v>576390.5</v>
      </c>
      <c r="K55" s="12">
        <f t="shared" si="31"/>
        <v>324820.59000000003</v>
      </c>
      <c r="L55" s="12">
        <f t="shared" si="31"/>
        <v>228286.2</v>
      </c>
      <c r="M55" s="12">
        <f t="shared" si="31"/>
        <v>442627.51999999996</v>
      </c>
      <c r="N55" s="12">
        <f t="shared" si="31"/>
        <v>343065.72</v>
      </c>
      <c r="O55" s="12">
        <f t="shared" si="31"/>
        <v>184900.13</v>
      </c>
      <c r="P55" s="12">
        <f t="shared" si="31"/>
        <v>716023.81</v>
      </c>
      <c r="Q55" s="12">
        <f t="shared" si="31"/>
        <v>850571.55</v>
      </c>
      <c r="R55" s="12">
        <f t="shared" si="31"/>
        <v>276247.23</v>
      </c>
      <c r="S55" s="12">
        <f t="shared" si="31"/>
        <v>849058.71000000008</v>
      </c>
    </row>
    <row r="56" spans="1:20" ht="90.75" customHeight="1" x14ac:dyDescent="0.25">
      <c r="A56" s="21" t="s">
        <v>127</v>
      </c>
      <c r="B56" s="41" t="s">
        <v>307</v>
      </c>
      <c r="C56" s="42"/>
      <c r="D56" s="42"/>
      <c r="E56" s="42"/>
      <c r="F56" s="43"/>
      <c r="G56" s="12">
        <f>G57</f>
        <v>13850</v>
      </c>
      <c r="H56" s="12">
        <f t="shared" ref="H56:S56" si="32">H57</f>
        <v>0</v>
      </c>
      <c r="I56" s="12">
        <f t="shared" si="32"/>
        <v>0</v>
      </c>
      <c r="J56" s="12">
        <f t="shared" si="32"/>
        <v>0</v>
      </c>
      <c r="K56" s="12">
        <f t="shared" si="32"/>
        <v>4700.46</v>
      </c>
      <c r="L56" s="12">
        <f t="shared" si="32"/>
        <v>0</v>
      </c>
      <c r="M56" s="12">
        <f t="shared" si="32"/>
        <v>1175.1199999999999</v>
      </c>
      <c r="N56" s="12">
        <f t="shared" si="32"/>
        <v>2801.9</v>
      </c>
      <c r="O56" s="12">
        <f t="shared" si="32"/>
        <v>0</v>
      </c>
      <c r="P56" s="12">
        <f t="shared" si="32"/>
        <v>2576.0700000000002</v>
      </c>
      <c r="Q56" s="12">
        <f t="shared" si="32"/>
        <v>0</v>
      </c>
      <c r="R56" s="12">
        <f t="shared" si="32"/>
        <v>1400.95</v>
      </c>
      <c r="S56" s="12">
        <f t="shared" si="32"/>
        <v>1178.8599999999999</v>
      </c>
    </row>
    <row r="57" spans="1:20" ht="113.25" customHeight="1" x14ac:dyDescent="0.25">
      <c r="A57" s="21" t="s">
        <v>128</v>
      </c>
      <c r="B57" s="41" t="s">
        <v>306</v>
      </c>
      <c r="C57" s="69"/>
      <c r="D57" s="69"/>
      <c r="E57" s="69"/>
      <c r="F57" s="70"/>
      <c r="G57" s="12">
        <v>13850</v>
      </c>
      <c r="H57" s="7">
        <v>0</v>
      </c>
      <c r="I57" s="7">
        <v>0</v>
      </c>
      <c r="J57" s="7">
        <v>0</v>
      </c>
      <c r="K57" s="7">
        <v>4700.46</v>
      </c>
      <c r="L57" s="7">
        <v>0</v>
      </c>
      <c r="M57" s="7">
        <v>1175.1199999999999</v>
      </c>
      <c r="N57" s="7">
        <v>2801.9</v>
      </c>
      <c r="O57" s="7">
        <v>0</v>
      </c>
      <c r="P57" s="7">
        <v>2576.0700000000002</v>
      </c>
      <c r="Q57" s="7">
        <v>0</v>
      </c>
      <c r="R57" s="7">
        <v>1400.95</v>
      </c>
      <c r="S57" s="7">
        <v>1178.8599999999999</v>
      </c>
      <c r="T57" s="4"/>
    </row>
    <row r="58" spans="1:20" ht="137.25" customHeight="1" x14ac:dyDescent="0.25">
      <c r="A58" s="21" t="s">
        <v>129</v>
      </c>
      <c r="B58" s="41" t="s">
        <v>310</v>
      </c>
      <c r="C58" s="42"/>
      <c r="D58" s="42"/>
      <c r="E58" s="42"/>
      <c r="F58" s="43"/>
      <c r="G58" s="12">
        <f>G59</f>
        <v>517000</v>
      </c>
      <c r="H58" s="12">
        <f t="shared" ref="H58:S58" si="33">H59</f>
        <v>23343.49</v>
      </c>
      <c r="I58" s="12">
        <f t="shared" si="33"/>
        <v>13935.02</v>
      </c>
      <c r="J58" s="12">
        <f t="shared" si="33"/>
        <v>122333.64</v>
      </c>
      <c r="K58" s="12">
        <f t="shared" si="33"/>
        <v>14679.23</v>
      </c>
      <c r="L58" s="12">
        <f t="shared" si="33"/>
        <v>25146.85</v>
      </c>
      <c r="M58" s="12">
        <f t="shared" si="33"/>
        <v>72893.789999999994</v>
      </c>
      <c r="N58" s="12">
        <f t="shared" si="33"/>
        <v>9886.7000000000007</v>
      </c>
      <c r="O58" s="12">
        <f t="shared" si="33"/>
        <v>8019.09</v>
      </c>
      <c r="P58" s="12">
        <f t="shared" si="33"/>
        <v>95776.23</v>
      </c>
      <c r="Q58" s="12">
        <f t="shared" si="33"/>
        <v>5571.99</v>
      </c>
      <c r="R58" s="12">
        <f t="shared" si="33"/>
        <v>11137.36</v>
      </c>
      <c r="S58" s="12">
        <f t="shared" si="33"/>
        <v>113686.94</v>
      </c>
    </row>
    <row r="59" spans="1:20" ht="114" customHeight="1" x14ac:dyDescent="0.25">
      <c r="A59" s="21" t="s">
        <v>130</v>
      </c>
      <c r="B59" s="41" t="s">
        <v>309</v>
      </c>
      <c r="C59" s="42"/>
      <c r="D59" s="42"/>
      <c r="E59" s="42"/>
      <c r="F59" s="43"/>
      <c r="G59" s="12">
        <v>517000</v>
      </c>
      <c r="H59" s="13">
        <v>23343.49</v>
      </c>
      <c r="I59" s="13">
        <v>13935.02</v>
      </c>
      <c r="J59" s="13">
        <v>122333.64</v>
      </c>
      <c r="K59" s="13">
        <v>14679.23</v>
      </c>
      <c r="L59" s="13">
        <v>25146.85</v>
      </c>
      <c r="M59" s="13">
        <v>72893.789999999994</v>
      </c>
      <c r="N59" s="13">
        <v>9886.7000000000007</v>
      </c>
      <c r="O59" s="13">
        <v>8019.09</v>
      </c>
      <c r="P59" s="13">
        <v>95776.23</v>
      </c>
      <c r="Q59" s="13">
        <v>5571.99</v>
      </c>
      <c r="R59" s="13">
        <v>11137.36</v>
      </c>
      <c r="S59" s="13">
        <v>113686.94</v>
      </c>
      <c r="T59" s="5"/>
    </row>
    <row r="60" spans="1:20" ht="66.75" customHeight="1" x14ac:dyDescent="0.25">
      <c r="A60" s="21" t="s">
        <v>131</v>
      </c>
      <c r="B60" s="41" t="s">
        <v>311</v>
      </c>
      <c r="C60" s="42"/>
      <c r="D60" s="42"/>
      <c r="E60" s="42"/>
      <c r="F60" s="43"/>
      <c r="G60" s="12">
        <f>G61</f>
        <v>4957000</v>
      </c>
      <c r="H60" s="12">
        <f t="shared" ref="H60:S60" si="34">H61</f>
        <v>307790.43</v>
      </c>
      <c r="I60" s="12">
        <f t="shared" si="34"/>
        <v>350161.03</v>
      </c>
      <c r="J60" s="12">
        <f t="shared" si="34"/>
        <v>454056.86</v>
      </c>
      <c r="K60" s="12">
        <f t="shared" si="34"/>
        <v>305440.90000000002</v>
      </c>
      <c r="L60" s="12">
        <f t="shared" si="34"/>
        <v>203139.35</v>
      </c>
      <c r="M60" s="12">
        <f t="shared" si="34"/>
        <v>368558.61</v>
      </c>
      <c r="N60" s="12">
        <f t="shared" si="34"/>
        <v>330377.12</v>
      </c>
      <c r="O60" s="12">
        <f t="shared" si="34"/>
        <v>176881.04</v>
      </c>
      <c r="P60" s="12">
        <f t="shared" si="34"/>
        <v>617671.51</v>
      </c>
      <c r="Q60" s="12">
        <f t="shared" si="34"/>
        <v>844999.56</v>
      </c>
      <c r="R60" s="12">
        <f t="shared" si="34"/>
        <v>263708.92</v>
      </c>
      <c r="S60" s="12">
        <f t="shared" si="34"/>
        <v>734192.91</v>
      </c>
    </row>
    <row r="61" spans="1:20" ht="55.5" customHeight="1" x14ac:dyDescent="0.25">
      <c r="A61" s="21" t="s">
        <v>132</v>
      </c>
      <c r="B61" s="41" t="s">
        <v>312</v>
      </c>
      <c r="C61" s="42"/>
      <c r="D61" s="42"/>
      <c r="E61" s="42"/>
      <c r="F61" s="43"/>
      <c r="G61" s="12">
        <v>4957000</v>
      </c>
      <c r="H61" s="34">
        <v>307790.43</v>
      </c>
      <c r="I61" s="34">
        <v>350161.03</v>
      </c>
      <c r="J61" s="34">
        <v>454056.86</v>
      </c>
      <c r="K61" s="34">
        <v>305440.90000000002</v>
      </c>
      <c r="L61" s="34">
        <v>203139.35</v>
      </c>
      <c r="M61" s="34">
        <v>368558.61</v>
      </c>
      <c r="N61" s="34">
        <v>330377.12</v>
      </c>
      <c r="O61" s="34">
        <v>176881.04</v>
      </c>
      <c r="P61" s="34">
        <v>617671.51</v>
      </c>
      <c r="Q61" s="34">
        <v>844999.56</v>
      </c>
      <c r="R61" s="34">
        <v>263708.92</v>
      </c>
      <c r="S61" s="34">
        <v>734192.91</v>
      </c>
    </row>
    <row r="62" spans="1:20" ht="137.25" customHeight="1" x14ac:dyDescent="0.25">
      <c r="A62" s="21" t="s">
        <v>37</v>
      </c>
      <c r="B62" s="41" t="s">
        <v>313</v>
      </c>
      <c r="C62" s="42"/>
      <c r="D62" s="42"/>
      <c r="E62" s="42"/>
      <c r="F62" s="43"/>
      <c r="G62" s="12">
        <f>G63</f>
        <v>7560000</v>
      </c>
      <c r="H62" s="12">
        <f>H63</f>
        <v>792186.6</v>
      </c>
      <c r="I62" s="12">
        <f t="shared" ref="I62:R62" si="35">I63</f>
        <v>541989.02</v>
      </c>
      <c r="J62" s="12">
        <f t="shared" si="35"/>
        <v>530834.57999999996</v>
      </c>
      <c r="K62" s="12">
        <f t="shared" si="35"/>
        <v>649115.12</v>
      </c>
      <c r="L62" s="12">
        <f t="shared" si="35"/>
        <v>674901.87</v>
      </c>
      <c r="M62" s="12">
        <f t="shared" si="35"/>
        <v>638109.11</v>
      </c>
      <c r="N62" s="12">
        <f t="shared" si="35"/>
        <v>614434.68000000005</v>
      </c>
      <c r="O62" s="12">
        <f t="shared" si="35"/>
        <v>596266.97</v>
      </c>
      <c r="P62" s="12">
        <f t="shared" si="35"/>
        <v>573333.42000000004</v>
      </c>
      <c r="Q62" s="12">
        <f t="shared" si="35"/>
        <v>635658.57999999996</v>
      </c>
      <c r="R62" s="12">
        <f t="shared" si="35"/>
        <v>672877.22</v>
      </c>
      <c r="S62" s="12">
        <f>S63</f>
        <v>639391.43000000005</v>
      </c>
    </row>
    <row r="63" spans="1:20" ht="136.5" customHeight="1" x14ac:dyDescent="0.25">
      <c r="A63" s="21" t="s">
        <v>133</v>
      </c>
      <c r="B63" s="41" t="s">
        <v>314</v>
      </c>
      <c r="C63" s="42"/>
      <c r="D63" s="42"/>
      <c r="E63" s="42"/>
      <c r="F63" s="43"/>
      <c r="G63" s="12">
        <f>G64</f>
        <v>7560000</v>
      </c>
      <c r="H63" s="13">
        <f>H64</f>
        <v>792186.6</v>
      </c>
      <c r="I63" s="13">
        <f t="shared" ref="I63:S63" si="36">I64</f>
        <v>541989.02</v>
      </c>
      <c r="J63" s="13">
        <f t="shared" si="36"/>
        <v>530834.57999999996</v>
      </c>
      <c r="K63" s="13">
        <f t="shared" si="36"/>
        <v>649115.12</v>
      </c>
      <c r="L63" s="13">
        <f t="shared" si="36"/>
        <v>674901.87</v>
      </c>
      <c r="M63" s="13">
        <f t="shared" si="36"/>
        <v>638109.11</v>
      </c>
      <c r="N63" s="13">
        <f t="shared" si="36"/>
        <v>614434.68000000005</v>
      </c>
      <c r="O63" s="13">
        <f t="shared" si="36"/>
        <v>596266.97</v>
      </c>
      <c r="P63" s="13">
        <f t="shared" si="36"/>
        <v>573333.42000000004</v>
      </c>
      <c r="Q63" s="13">
        <f t="shared" si="36"/>
        <v>635658.57999999996</v>
      </c>
      <c r="R63" s="13">
        <f t="shared" si="36"/>
        <v>672877.22</v>
      </c>
      <c r="S63" s="13">
        <f t="shared" si="36"/>
        <v>639391.43000000005</v>
      </c>
    </row>
    <row r="64" spans="1:20" ht="123" customHeight="1" x14ac:dyDescent="0.25">
      <c r="A64" s="21" t="s">
        <v>134</v>
      </c>
      <c r="B64" s="41" t="s">
        <v>315</v>
      </c>
      <c r="C64" s="42"/>
      <c r="D64" s="42"/>
      <c r="E64" s="42"/>
      <c r="F64" s="43"/>
      <c r="G64" s="12">
        <v>7560000</v>
      </c>
      <c r="H64" s="12">
        <v>792186.6</v>
      </c>
      <c r="I64" s="12">
        <v>541989.02</v>
      </c>
      <c r="J64" s="12">
        <v>530834.57999999996</v>
      </c>
      <c r="K64" s="12">
        <v>649115.12</v>
      </c>
      <c r="L64" s="12">
        <v>674901.87</v>
      </c>
      <c r="M64" s="12">
        <v>638109.11</v>
      </c>
      <c r="N64" s="12">
        <v>614434.68000000005</v>
      </c>
      <c r="O64" s="12">
        <v>596266.97</v>
      </c>
      <c r="P64" s="12">
        <v>573333.42000000004</v>
      </c>
      <c r="Q64" s="12">
        <v>635658.57999999996</v>
      </c>
      <c r="R64" s="12">
        <v>672877.22</v>
      </c>
      <c r="S64" s="12">
        <v>639391.43000000005</v>
      </c>
      <c r="T64" s="5"/>
    </row>
    <row r="65" spans="1:20" ht="45" x14ac:dyDescent="0.25">
      <c r="A65" s="21" t="s">
        <v>38</v>
      </c>
      <c r="B65" s="41" t="s">
        <v>39</v>
      </c>
      <c r="C65" s="42"/>
      <c r="D65" s="42"/>
      <c r="E65" s="42"/>
      <c r="F65" s="43"/>
      <c r="G65" s="12">
        <f>G66+G67+G68</f>
        <v>244736</v>
      </c>
      <c r="H65" s="12">
        <f t="shared" ref="H65:S65" si="37">H66+H67+H68</f>
        <v>0.71</v>
      </c>
      <c r="I65" s="12">
        <f t="shared" si="37"/>
        <v>1126.46</v>
      </c>
      <c r="J65" s="12">
        <f t="shared" si="37"/>
        <v>34512.079999999994</v>
      </c>
      <c r="K65" s="12">
        <f t="shared" si="37"/>
        <v>12226.67</v>
      </c>
      <c r="L65" s="12">
        <f t="shared" si="37"/>
        <v>0</v>
      </c>
      <c r="M65" s="12">
        <f t="shared" si="37"/>
        <v>0.71</v>
      </c>
      <c r="N65" s="12">
        <f t="shared" si="37"/>
        <v>39718.42</v>
      </c>
      <c r="O65" s="12">
        <f t="shared" si="37"/>
        <v>0</v>
      </c>
      <c r="P65" s="12">
        <f t="shared" si="37"/>
        <v>0.71</v>
      </c>
      <c r="Q65" s="12">
        <f t="shared" si="37"/>
        <v>38787.78</v>
      </c>
      <c r="R65" s="12">
        <f t="shared" si="37"/>
        <v>0</v>
      </c>
      <c r="S65" s="12">
        <f t="shared" si="37"/>
        <v>1160.5</v>
      </c>
    </row>
    <row r="66" spans="1:20" ht="44.25" customHeight="1" x14ac:dyDescent="0.25">
      <c r="A66" s="21" t="s">
        <v>135</v>
      </c>
      <c r="B66" s="41" t="s">
        <v>136</v>
      </c>
      <c r="C66" s="42"/>
      <c r="D66" s="42"/>
      <c r="E66" s="42"/>
      <c r="F66" s="43"/>
      <c r="G66" s="12">
        <v>76200</v>
      </c>
      <c r="H66" s="34">
        <v>0</v>
      </c>
      <c r="I66" s="34">
        <v>0</v>
      </c>
      <c r="J66" s="34">
        <v>34511.379999999997</v>
      </c>
      <c r="K66" s="34">
        <v>12226.67</v>
      </c>
      <c r="L66" s="34">
        <v>0</v>
      </c>
      <c r="M66" s="34">
        <v>0</v>
      </c>
      <c r="N66" s="34">
        <v>12278.37</v>
      </c>
      <c r="O66" s="34">
        <v>0</v>
      </c>
      <c r="P66" s="34">
        <v>0</v>
      </c>
      <c r="Q66" s="34">
        <v>12278.37</v>
      </c>
      <c r="R66" s="34">
        <v>0</v>
      </c>
      <c r="S66" s="34">
        <v>0</v>
      </c>
    </row>
    <row r="67" spans="1:20" ht="21.75" customHeight="1" x14ac:dyDescent="0.25">
      <c r="A67" s="21" t="s">
        <v>137</v>
      </c>
      <c r="B67" s="41" t="s">
        <v>138</v>
      </c>
      <c r="C67" s="42"/>
      <c r="D67" s="42"/>
      <c r="E67" s="42"/>
      <c r="F67" s="43"/>
      <c r="G67" s="12">
        <v>139273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26279.55</v>
      </c>
      <c r="O67" s="34">
        <v>0</v>
      </c>
      <c r="P67" s="34">
        <v>0</v>
      </c>
      <c r="Q67" s="34">
        <v>26279.55</v>
      </c>
      <c r="R67" s="34">
        <v>0</v>
      </c>
      <c r="S67" s="34">
        <v>0</v>
      </c>
    </row>
    <row r="68" spans="1:20" ht="23.25" customHeight="1" x14ac:dyDescent="0.25">
      <c r="A68" s="21" t="s">
        <v>139</v>
      </c>
      <c r="B68" s="41" t="s">
        <v>140</v>
      </c>
      <c r="C68" s="42"/>
      <c r="D68" s="42"/>
      <c r="E68" s="42"/>
      <c r="F68" s="43"/>
      <c r="G68" s="12">
        <v>29263</v>
      </c>
      <c r="H68" s="34">
        <v>0.71</v>
      </c>
      <c r="I68" s="34">
        <v>1126.46</v>
      </c>
      <c r="J68" s="34">
        <v>0.7</v>
      </c>
      <c r="K68" s="34">
        <v>0</v>
      </c>
      <c r="L68" s="34">
        <v>0</v>
      </c>
      <c r="M68" s="34">
        <v>0.71</v>
      </c>
      <c r="N68" s="34">
        <v>1160.5</v>
      </c>
      <c r="O68" s="34">
        <v>0</v>
      </c>
      <c r="P68" s="34">
        <v>0.71</v>
      </c>
      <c r="Q68" s="34">
        <v>229.86</v>
      </c>
      <c r="R68" s="34">
        <v>0</v>
      </c>
      <c r="S68" s="34">
        <v>1160.5</v>
      </c>
    </row>
    <row r="69" spans="1:20" ht="47.25" customHeight="1" x14ac:dyDescent="0.25">
      <c r="A69" s="1" t="s">
        <v>141</v>
      </c>
      <c r="B69" s="41" t="s">
        <v>316</v>
      </c>
      <c r="C69" s="42"/>
      <c r="D69" s="42"/>
      <c r="E69" s="42"/>
      <c r="F69" s="43"/>
      <c r="G69" s="12">
        <f>G70</f>
        <v>0</v>
      </c>
      <c r="H69" s="12">
        <f t="shared" ref="H69:S71" si="38">H70</f>
        <v>0</v>
      </c>
      <c r="I69" s="12">
        <f t="shared" si="38"/>
        <v>0</v>
      </c>
      <c r="J69" s="12">
        <f t="shared" si="38"/>
        <v>0</v>
      </c>
      <c r="K69" s="12">
        <f t="shared" si="38"/>
        <v>0</v>
      </c>
      <c r="L69" s="12">
        <f t="shared" si="38"/>
        <v>0</v>
      </c>
      <c r="M69" s="12">
        <f t="shared" si="38"/>
        <v>0</v>
      </c>
      <c r="N69" s="12">
        <f t="shared" si="38"/>
        <v>0</v>
      </c>
      <c r="O69" s="12">
        <f t="shared" si="38"/>
        <v>0</v>
      </c>
      <c r="P69" s="12">
        <f t="shared" si="38"/>
        <v>0</v>
      </c>
      <c r="Q69" s="12">
        <f t="shared" si="38"/>
        <v>0</v>
      </c>
      <c r="R69" s="12">
        <f t="shared" si="38"/>
        <v>0</v>
      </c>
      <c r="S69" s="12">
        <f t="shared" si="38"/>
        <v>0</v>
      </c>
    </row>
    <row r="70" spans="1:20" ht="135.75" customHeight="1" x14ac:dyDescent="0.25">
      <c r="A70" s="1" t="s">
        <v>142</v>
      </c>
      <c r="B70" s="41" t="s">
        <v>317</v>
      </c>
      <c r="C70" s="42"/>
      <c r="D70" s="42"/>
      <c r="E70" s="42"/>
      <c r="F70" s="43"/>
      <c r="G70" s="12">
        <f>G71</f>
        <v>0</v>
      </c>
      <c r="H70" s="12">
        <f t="shared" si="38"/>
        <v>0</v>
      </c>
      <c r="I70" s="12">
        <f t="shared" si="38"/>
        <v>0</v>
      </c>
      <c r="J70" s="12">
        <f t="shared" si="38"/>
        <v>0</v>
      </c>
      <c r="K70" s="12">
        <f t="shared" si="38"/>
        <v>0</v>
      </c>
      <c r="L70" s="12">
        <f t="shared" si="38"/>
        <v>0</v>
      </c>
      <c r="M70" s="12">
        <f t="shared" si="38"/>
        <v>0</v>
      </c>
      <c r="N70" s="12">
        <f t="shared" si="38"/>
        <v>0</v>
      </c>
      <c r="O70" s="12">
        <f t="shared" si="38"/>
        <v>0</v>
      </c>
      <c r="P70" s="12">
        <f t="shared" si="38"/>
        <v>0</v>
      </c>
      <c r="Q70" s="12">
        <f t="shared" si="38"/>
        <v>0</v>
      </c>
      <c r="R70" s="12">
        <f t="shared" si="38"/>
        <v>0</v>
      </c>
      <c r="S70" s="12">
        <f t="shared" si="38"/>
        <v>0</v>
      </c>
    </row>
    <row r="71" spans="1:20" ht="147.75" customHeight="1" x14ac:dyDescent="0.25">
      <c r="A71" s="1" t="s">
        <v>143</v>
      </c>
      <c r="B71" s="41" t="s">
        <v>318</v>
      </c>
      <c r="C71" s="42"/>
      <c r="D71" s="42"/>
      <c r="E71" s="42"/>
      <c r="F71" s="43"/>
      <c r="G71" s="12">
        <f>G72</f>
        <v>0</v>
      </c>
      <c r="H71" s="12">
        <f t="shared" si="38"/>
        <v>0</v>
      </c>
      <c r="I71" s="12">
        <f t="shared" si="38"/>
        <v>0</v>
      </c>
      <c r="J71" s="12">
        <f t="shared" si="38"/>
        <v>0</v>
      </c>
      <c r="K71" s="12">
        <f t="shared" si="38"/>
        <v>0</v>
      </c>
      <c r="L71" s="12">
        <f t="shared" si="38"/>
        <v>0</v>
      </c>
      <c r="M71" s="12">
        <f t="shared" si="38"/>
        <v>0</v>
      </c>
      <c r="N71" s="12">
        <f t="shared" si="38"/>
        <v>0</v>
      </c>
      <c r="O71" s="12">
        <f t="shared" si="38"/>
        <v>0</v>
      </c>
      <c r="P71" s="12">
        <f t="shared" si="38"/>
        <v>0</v>
      </c>
      <c r="Q71" s="12">
        <f t="shared" si="38"/>
        <v>0</v>
      </c>
      <c r="R71" s="12">
        <f t="shared" si="38"/>
        <v>0</v>
      </c>
      <c r="S71" s="12">
        <f t="shared" si="38"/>
        <v>0</v>
      </c>
    </row>
    <row r="72" spans="1:20" ht="135" customHeight="1" x14ac:dyDescent="0.25">
      <c r="A72" s="1" t="s">
        <v>144</v>
      </c>
      <c r="B72" s="41" t="s">
        <v>319</v>
      </c>
      <c r="C72" s="42"/>
      <c r="D72" s="42"/>
      <c r="E72" s="42"/>
      <c r="F72" s="43"/>
      <c r="G72" s="12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5"/>
    </row>
    <row r="73" spans="1:20" ht="23.25" customHeight="1" x14ac:dyDescent="0.25">
      <c r="A73" s="21" t="s">
        <v>40</v>
      </c>
      <c r="B73" s="41" t="s">
        <v>41</v>
      </c>
      <c r="C73" s="42"/>
      <c r="D73" s="42"/>
      <c r="E73" s="42"/>
      <c r="F73" s="43"/>
      <c r="G73" s="12">
        <f>G74+G82+G84+G85+G77+G79+G80</f>
        <v>688584.2</v>
      </c>
      <c r="H73" s="12">
        <f t="shared" ref="H73:S73" si="39">H74+H82+H84+H85+H77+H79+H80</f>
        <v>194207.33</v>
      </c>
      <c r="I73" s="12">
        <f t="shared" si="39"/>
        <v>31521.24</v>
      </c>
      <c r="J73" s="12">
        <f t="shared" si="39"/>
        <v>56933.68</v>
      </c>
      <c r="K73" s="12">
        <f t="shared" si="39"/>
        <v>14299.93</v>
      </c>
      <c r="L73" s="12">
        <f t="shared" si="39"/>
        <v>16854.38</v>
      </c>
      <c r="M73" s="12">
        <f t="shared" si="39"/>
        <v>16162.800000000001</v>
      </c>
      <c r="N73" s="12">
        <f t="shared" si="39"/>
        <v>131500</v>
      </c>
      <c r="O73" s="12">
        <f t="shared" si="39"/>
        <v>29188.92</v>
      </c>
      <c r="P73" s="12">
        <f t="shared" si="39"/>
        <v>140926.82</v>
      </c>
      <c r="Q73" s="12">
        <f t="shared" si="39"/>
        <v>5412.59</v>
      </c>
      <c r="R73" s="12">
        <f t="shared" si="39"/>
        <v>13100</v>
      </c>
      <c r="S73" s="12">
        <f t="shared" si="39"/>
        <v>38093.94</v>
      </c>
    </row>
    <row r="74" spans="1:20" ht="35.25" customHeight="1" x14ac:dyDescent="0.25">
      <c r="A74" s="21" t="s">
        <v>145</v>
      </c>
      <c r="B74" s="41" t="s">
        <v>146</v>
      </c>
      <c r="C74" s="42"/>
      <c r="D74" s="42"/>
      <c r="E74" s="42"/>
      <c r="F74" s="43"/>
      <c r="G74" s="12">
        <f t="shared" ref="G74:S74" si="40">G75+G76</f>
        <v>3500</v>
      </c>
      <c r="H74" s="12">
        <f t="shared" si="40"/>
        <v>150</v>
      </c>
      <c r="I74" s="12">
        <f t="shared" si="40"/>
        <v>175</v>
      </c>
      <c r="J74" s="12">
        <f t="shared" si="40"/>
        <v>550</v>
      </c>
      <c r="K74" s="12">
        <f t="shared" si="40"/>
        <v>0</v>
      </c>
      <c r="L74" s="12">
        <f t="shared" si="40"/>
        <v>500</v>
      </c>
      <c r="M74" s="12">
        <f t="shared" si="40"/>
        <v>306.25</v>
      </c>
      <c r="N74" s="12">
        <f t="shared" si="40"/>
        <v>0</v>
      </c>
      <c r="O74" s="12">
        <f t="shared" si="40"/>
        <v>600</v>
      </c>
      <c r="P74" s="12">
        <f t="shared" si="40"/>
        <v>646.68000000000006</v>
      </c>
      <c r="Q74" s="12">
        <f t="shared" si="40"/>
        <v>0</v>
      </c>
      <c r="R74" s="12">
        <f t="shared" si="40"/>
        <v>0</v>
      </c>
      <c r="S74" s="12">
        <f t="shared" si="40"/>
        <v>-96.68</v>
      </c>
    </row>
    <row r="75" spans="1:20" ht="114" customHeight="1" x14ac:dyDescent="0.25">
      <c r="A75" s="21" t="s">
        <v>147</v>
      </c>
      <c r="B75" s="41" t="s">
        <v>148</v>
      </c>
      <c r="C75" s="42"/>
      <c r="D75" s="42"/>
      <c r="E75" s="42"/>
      <c r="F75" s="43"/>
      <c r="G75" s="12">
        <v>1500</v>
      </c>
      <c r="H75" s="34">
        <v>0</v>
      </c>
      <c r="I75" s="34">
        <v>0</v>
      </c>
      <c r="J75" s="34">
        <v>250</v>
      </c>
      <c r="K75" s="34">
        <v>0</v>
      </c>
      <c r="L75" s="34">
        <v>200</v>
      </c>
      <c r="M75" s="34">
        <v>156.25</v>
      </c>
      <c r="N75" s="34">
        <v>0</v>
      </c>
      <c r="O75" s="34">
        <v>600</v>
      </c>
      <c r="P75" s="34">
        <v>346.68</v>
      </c>
      <c r="Q75" s="34">
        <v>0</v>
      </c>
      <c r="R75" s="34">
        <v>0</v>
      </c>
      <c r="S75" s="34">
        <v>-96.68</v>
      </c>
    </row>
    <row r="76" spans="1:20" ht="90.75" customHeight="1" x14ac:dyDescent="0.25">
      <c r="A76" s="21" t="s">
        <v>149</v>
      </c>
      <c r="B76" s="41" t="s">
        <v>150</v>
      </c>
      <c r="C76" s="42"/>
      <c r="D76" s="42"/>
      <c r="E76" s="42"/>
      <c r="F76" s="43"/>
      <c r="G76" s="12">
        <v>2000</v>
      </c>
      <c r="H76" s="34">
        <v>150</v>
      </c>
      <c r="I76" s="34">
        <v>175</v>
      </c>
      <c r="J76" s="34">
        <v>300</v>
      </c>
      <c r="K76" s="34">
        <v>0</v>
      </c>
      <c r="L76" s="34">
        <v>300</v>
      </c>
      <c r="M76" s="34">
        <v>150</v>
      </c>
      <c r="N76" s="34">
        <v>0</v>
      </c>
      <c r="O76" s="34">
        <v>0</v>
      </c>
      <c r="P76" s="34">
        <v>300</v>
      </c>
      <c r="Q76" s="34">
        <v>0</v>
      </c>
      <c r="R76" s="34">
        <v>0</v>
      </c>
      <c r="S76" s="34">
        <v>0</v>
      </c>
    </row>
    <row r="77" spans="1:20" ht="180.75" x14ac:dyDescent="0.25">
      <c r="A77" s="37" t="s">
        <v>367</v>
      </c>
      <c r="B77" s="109" t="s">
        <v>368</v>
      </c>
      <c r="C77" s="47"/>
      <c r="D77" s="47"/>
      <c r="E77" s="47"/>
      <c r="F77" s="47"/>
      <c r="G77" s="12">
        <f>G78</f>
        <v>10000</v>
      </c>
      <c r="H77" s="12">
        <f t="shared" ref="H77:S77" si="41">H78</f>
        <v>0</v>
      </c>
      <c r="I77" s="12">
        <f t="shared" si="41"/>
        <v>0</v>
      </c>
      <c r="J77" s="12">
        <f t="shared" si="41"/>
        <v>0</v>
      </c>
      <c r="K77" s="12">
        <f>K78</f>
        <v>0</v>
      </c>
      <c r="L77" s="12">
        <f t="shared" si="41"/>
        <v>0</v>
      </c>
      <c r="M77" s="12">
        <f t="shared" si="41"/>
        <v>0</v>
      </c>
      <c r="N77" s="12">
        <f t="shared" si="41"/>
        <v>0</v>
      </c>
      <c r="O77" s="12">
        <f t="shared" si="41"/>
        <v>0</v>
      </c>
      <c r="P77" s="12">
        <f t="shared" si="41"/>
        <v>0</v>
      </c>
      <c r="Q77" s="12">
        <f t="shared" si="41"/>
        <v>0</v>
      </c>
      <c r="R77" s="12">
        <f t="shared" si="41"/>
        <v>0</v>
      </c>
      <c r="S77" s="12">
        <f t="shared" si="41"/>
        <v>10000</v>
      </c>
    </row>
    <row r="78" spans="1:20" ht="45.75" x14ac:dyDescent="0.25">
      <c r="A78" s="37" t="s">
        <v>369</v>
      </c>
      <c r="B78" s="109" t="s">
        <v>370</v>
      </c>
      <c r="C78" s="47"/>
      <c r="D78" s="47"/>
      <c r="E78" s="47"/>
      <c r="F78" s="47"/>
      <c r="G78" s="12">
        <v>10000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10000</v>
      </c>
    </row>
    <row r="79" spans="1:20" ht="90.75" x14ac:dyDescent="0.25">
      <c r="A79" s="37" t="s">
        <v>371</v>
      </c>
      <c r="B79" s="109" t="s">
        <v>372</v>
      </c>
      <c r="C79" s="47"/>
      <c r="D79" s="47"/>
      <c r="E79" s="47"/>
      <c r="F79" s="47"/>
      <c r="G79" s="12">
        <v>263500</v>
      </c>
      <c r="H79" s="34">
        <v>0</v>
      </c>
      <c r="I79" s="34">
        <v>0</v>
      </c>
      <c r="J79" s="34">
        <v>43000</v>
      </c>
      <c r="K79" s="34">
        <v>1500</v>
      </c>
      <c r="L79" s="34">
        <v>500</v>
      </c>
      <c r="M79" s="34">
        <v>0</v>
      </c>
      <c r="N79" s="34">
        <v>101000</v>
      </c>
      <c r="O79" s="34">
        <v>0</v>
      </c>
      <c r="P79" s="34">
        <v>113000</v>
      </c>
      <c r="Q79" s="34">
        <v>1500</v>
      </c>
      <c r="R79" s="34">
        <v>0</v>
      </c>
      <c r="S79" s="34">
        <v>3000</v>
      </c>
    </row>
    <row r="80" spans="1:20" ht="37.5" customHeight="1" x14ac:dyDescent="0.25">
      <c r="A80" s="37" t="s">
        <v>373</v>
      </c>
      <c r="B80" s="109" t="s">
        <v>374</v>
      </c>
      <c r="C80" s="47"/>
      <c r="D80" s="47"/>
      <c r="E80" s="47"/>
      <c r="F80" s="47"/>
      <c r="G80" s="12">
        <f>G81</f>
        <v>1900</v>
      </c>
      <c r="H80" s="12">
        <f t="shared" ref="H80:S80" si="42">H81</f>
        <v>0</v>
      </c>
      <c r="I80" s="12">
        <f t="shared" si="42"/>
        <v>2750</v>
      </c>
      <c r="J80" s="12">
        <f t="shared" si="42"/>
        <v>-250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 t="shared" si="42"/>
        <v>0</v>
      </c>
      <c r="P80" s="12">
        <f t="shared" si="42"/>
        <v>0</v>
      </c>
      <c r="Q80" s="12">
        <f t="shared" si="42"/>
        <v>0</v>
      </c>
      <c r="R80" s="12">
        <f t="shared" si="42"/>
        <v>0</v>
      </c>
      <c r="S80" s="12">
        <f t="shared" si="42"/>
        <v>0</v>
      </c>
    </row>
    <row r="81" spans="1:19" ht="37.5" customHeight="1" x14ac:dyDescent="0.25">
      <c r="A81" s="37" t="s">
        <v>375</v>
      </c>
      <c r="B81" s="109" t="s">
        <v>376</v>
      </c>
      <c r="C81" s="47"/>
      <c r="D81" s="47"/>
      <c r="E81" s="47"/>
      <c r="F81" s="47"/>
      <c r="G81" s="12">
        <v>1900</v>
      </c>
      <c r="H81" s="34">
        <v>0</v>
      </c>
      <c r="I81" s="34">
        <v>2750</v>
      </c>
      <c r="J81" s="34">
        <v>-250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</row>
    <row r="82" spans="1:19" ht="90.75" x14ac:dyDescent="0.25">
      <c r="A82" s="37" t="s">
        <v>328</v>
      </c>
      <c r="B82" s="110" t="s">
        <v>323</v>
      </c>
      <c r="C82" s="47"/>
      <c r="D82" s="47"/>
      <c r="E82" s="47"/>
      <c r="F82" s="47"/>
      <c r="G82" s="12">
        <f>G83</f>
        <v>209984.2</v>
      </c>
      <c r="H82" s="12">
        <f t="shared" ref="H82:S82" si="43">H83</f>
        <v>189157.33</v>
      </c>
      <c r="I82" s="12">
        <f t="shared" si="43"/>
        <v>18446.240000000002</v>
      </c>
      <c r="J82" s="12">
        <f t="shared" si="43"/>
        <v>0</v>
      </c>
      <c r="K82" s="12">
        <f t="shared" si="43"/>
        <v>2300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si="43"/>
        <v>0</v>
      </c>
      <c r="Q82" s="12">
        <f t="shared" si="43"/>
        <v>0</v>
      </c>
      <c r="R82" s="12">
        <f t="shared" si="43"/>
        <v>0</v>
      </c>
      <c r="S82" s="12">
        <f t="shared" si="43"/>
        <v>0</v>
      </c>
    </row>
    <row r="83" spans="1:19" ht="102" x14ac:dyDescent="0.25">
      <c r="A83" s="35" t="s">
        <v>329</v>
      </c>
      <c r="B83" s="111" t="s">
        <v>324</v>
      </c>
      <c r="C83" s="112"/>
      <c r="D83" s="112"/>
      <c r="E83" s="112"/>
      <c r="F83" s="112"/>
      <c r="G83" s="12">
        <v>209984.2</v>
      </c>
      <c r="H83" s="12">
        <v>189157.33</v>
      </c>
      <c r="I83" s="34">
        <v>18446.240000000002</v>
      </c>
      <c r="J83" s="34">
        <v>0</v>
      </c>
      <c r="K83" s="34">
        <v>2300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</row>
    <row r="84" spans="1:19" ht="116.25" customHeight="1" x14ac:dyDescent="0.25">
      <c r="A84" s="35" t="s">
        <v>330</v>
      </c>
      <c r="B84" s="110" t="s">
        <v>325</v>
      </c>
      <c r="C84" s="47"/>
      <c r="D84" s="47"/>
      <c r="E84" s="47"/>
      <c r="F84" s="47"/>
      <c r="G84" s="12">
        <v>28200</v>
      </c>
      <c r="H84" s="12">
        <v>1600</v>
      </c>
      <c r="I84" s="34">
        <v>0</v>
      </c>
      <c r="J84" s="34">
        <v>4133.28</v>
      </c>
      <c r="K84" s="34">
        <v>2000</v>
      </c>
      <c r="L84" s="34">
        <v>6375.62</v>
      </c>
      <c r="M84" s="34">
        <v>1091.0999999999999</v>
      </c>
      <c r="N84" s="34">
        <v>0</v>
      </c>
      <c r="O84" s="34">
        <v>2000</v>
      </c>
      <c r="P84" s="34">
        <v>4769.82</v>
      </c>
      <c r="Q84" s="34">
        <v>0</v>
      </c>
      <c r="R84" s="34">
        <v>0</v>
      </c>
      <c r="S84" s="34">
        <v>6223.68</v>
      </c>
    </row>
    <row r="85" spans="1:19" ht="45.75" x14ac:dyDescent="0.25">
      <c r="A85" s="35" t="s">
        <v>331</v>
      </c>
      <c r="B85" s="110" t="s">
        <v>326</v>
      </c>
      <c r="C85" s="47"/>
      <c r="D85" s="47"/>
      <c r="E85" s="47"/>
      <c r="F85" s="47"/>
      <c r="G85" s="12">
        <f>G86</f>
        <v>171500</v>
      </c>
      <c r="H85" s="12">
        <f t="shared" ref="H85:S85" si="44">H86</f>
        <v>3300</v>
      </c>
      <c r="I85" s="12">
        <f t="shared" si="44"/>
        <v>10150</v>
      </c>
      <c r="J85" s="12">
        <f t="shared" si="44"/>
        <v>9500.4</v>
      </c>
      <c r="K85" s="12">
        <f t="shared" si="44"/>
        <v>8499.93</v>
      </c>
      <c r="L85" s="12">
        <f t="shared" si="44"/>
        <v>9478.76</v>
      </c>
      <c r="M85" s="12">
        <f t="shared" si="44"/>
        <v>14765.45</v>
      </c>
      <c r="N85" s="12">
        <f t="shared" si="44"/>
        <v>30500</v>
      </c>
      <c r="O85" s="12">
        <f t="shared" si="44"/>
        <v>26588.92</v>
      </c>
      <c r="P85" s="12">
        <f t="shared" si="44"/>
        <v>22510.32</v>
      </c>
      <c r="Q85" s="12">
        <f t="shared" si="44"/>
        <v>3912.59</v>
      </c>
      <c r="R85" s="12">
        <f t="shared" si="44"/>
        <v>13100</v>
      </c>
      <c r="S85" s="12">
        <f t="shared" si="44"/>
        <v>18966.939999999999</v>
      </c>
    </row>
    <row r="86" spans="1:19" ht="56.25" customHeight="1" x14ac:dyDescent="0.25">
      <c r="A86" s="35" t="s">
        <v>332</v>
      </c>
      <c r="B86" s="110" t="s">
        <v>327</v>
      </c>
      <c r="C86" s="47"/>
      <c r="D86" s="47"/>
      <c r="E86" s="47"/>
      <c r="F86" s="47"/>
      <c r="G86" s="12">
        <v>171500</v>
      </c>
      <c r="H86" s="12">
        <v>3300</v>
      </c>
      <c r="I86" s="34">
        <v>10150</v>
      </c>
      <c r="J86" s="34">
        <v>9500.4</v>
      </c>
      <c r="K86" s="34">
        <v>8499.93</v>
      </c>
      <c r="L86" s="34">
        <v>9478.76</v>
      </c>
      <c r="M86" s="34">
        <v>14765.45</v>
      </c>
      <c r="N86" s="34">
        <v>30500</v>
      </c>
      <c r="O86" s="34">
        <v>26588.92</v>
      </c>
      <c r="P86" s="34">
        <v>22510.32</v>
      </c>
      <c r="Q86" s="34">
        <v>3912.59</v>
      </c>
      <c r="R86" s="34">
        <v>13100</v>
      </c>
      <c r="S86" s="34">
        <v>18966.939999999999</v>
      </c>
    </row>
    <row r="87" spans="1:19" ht="23.25" x14ac:dyDescent="0.25">
      <c r="A87" s="35" t="s">
        <v>362</v>
      </c>
      <c r="B87" s="109" t="s">
        <v>357</v>
      </c>
      <c r="C87" s="47"/>
      <c r="D87" s="47"/>
      <c r="E87" s="47"/>
      <c r="F87" s="47"/>
      <c r="G87" s="12">
        <f>G88+G90</f>
        <v>785</v>
      </c>
      <c r="H87" s="12">
        <f t="shared" ref="H87:R87" si="45">H88+H90</f>
        <v>0</v>
      </c>
      <c r="I87" s="12">
        <f t="shared" si="45"/>
        <v>0</v>
      </c>
      <c r="J87" s="12">
        <f t="shared" si="45"/>
        <v>0</v>
      </c>
      <c r="K87" s="12">
        <f t="shared" si="45"/>
        <v>0</v>
      </c>
      <c r="L87" s="12">
        <f t="shared" si="45"/>
        <v>0</v>
      </c>
      <c r="M87" s="12">
        <f t="shared" si="45"/>
        <v>13233</v>
      </c>
      <c r="N87" s="12">
        <f t="shared" si="45"/>
        <v>-13233</v>
      </c>
      <c r="O87" s="12">
        <f t="shared" si="45"/>
        <v>0</v>
      </c>
      <c r="P87" s="12">
        <f t="shared" si="45"/>
        <v>0</v>
      </c>
      <c r="Q87" s="12">
        <f t="shared" si="45"/>
        <v>0</v>
      </c>
      <c r="R87" s="12">
        <f t="shared" si="45"/>
        <v>0</v>
      </c>
      <c r="S87" s="12">
        <f>S88+S90</f>
        <v>1205.77</v>
      </c>
    </row>
    <row r="88" spans="1:19" x14ac:dyDescent="0.25">
      <c r="A88" s="35" t="s">
        <v>363</v>
      </c>
      <c r="B88" s="109" t="s">
        <v>358</v>
      </c>
      <c r="C88" s="47"/>
      <c r="D88" s="47"/>
      <c r="E88" s="47"/>
      <c r="F88" s="47"/>
      <c r="G88" s="12">
        <f>G89</f>
        <v>0</v>
      </c>
      <c r="H88" s="12">
        <f t="shared" ref="H88:S88" si="46">H89</f>
        <v>0</v>
      </c>
      <c r="I88" s="12">
        <f t="shared" si="46"/>
        <v>0</v>
      </c>
      <c r="J88" s="12">
        <f t="shared" si="46"/>
        <v>0</v>
      </c>
      <c r="K88" s="12">
        <f t="shared" si="46"/>
        <v>0</v>
      </c>
      <c r="L88" s="12">
        <f t="shared" si="46"/>
        <v>0</v>
      </c>
      <c r="M88" s="12">
        <f t="shared" si="46"/>
        <v>13233</v>
      </c>
      <c r="N88" s="12">
        <f t="shared" si="46"/>
        <v>-13233</v>
      </c>
      <c r="O88" s="12">
        <f t="shared" si="46"/>
        <v>0</v>
      </c>
      <c r="P88" s="12">
        <f t="shared" si="46"/>
        <v>0</v>
      </c>
      <c r="Q88" s="12">
        <f t="shared" si="46"/>
        <v>0</v>
      </c>
      <c r="R88" s="12">
        <f t="shared" si="46"/>
        <v>0</v>
      </c>
      <c r="S88" s="12">
        <f t="shared" si="46"/>
        <v>421.14</v>
      </c>
    </row>
    <row r="89" spans="1:19" ht="34.5" x14ac:dyDescent="0.25">
      <c r="A89" s="35" t="s">
        <v>364</v>
      </c>
      <c r="B89" s="109" t="s">
        <v>359</v>
      </c>
      <c r="C89" s="47"/>
      <c r="D89" s="47"/>
      <c r="E89" s="47"/>
      <c r="F89" s="47"/>
      <c r="G89" s="12">
        <v>0</v>
      </c>
      <c r="H89" s="12">
        <v>0</v>
      </c>
      <c r="I89" s="34">
        <v>0</v>
      </c>
      <c r="J89" s="34">
        <v>0</v>
      </c>
      <c r="K89" s="34">
        <v>0</v>
      </c>
      <c r="L89" s="34">
        <v>0</v>
      </c>
      <c r="M89" s="34">
        <v>13233</v>
      </c>
      <c r="N89" s="34">
        <v>-13233</v>
      </c>
      <c r="O89" s="34">
        <v>0</v>
      </c>
      <c r="P89" s="34">
        <v>0</v>
      </c>
      <c r="Q89" s="34">
        <v>0</v>
      </c>
      <c r="R89" s="34">
        <v>0</v>
      </c>
      <c r="S89" s="34">
        <v>421.14</v>
      </c>
    </row>
    <row r="90" spans="1:19" x14ac:dyDescent="0.25">
      <c r="A90" s="35" t="s">
        <v>365</v>
      </c>
      <c r="B90" s="109" t="s">
        <v>360</v>
      </c>
      <c r="C90" s="47"/>
      <c r="D90" s="47"/>
      <c r="E90" s="47"/>
      <c r="F90" s="47"/>
      <c r="G90" s="12">
        <f>G91</f>
        <v>785</v>
      </c>
      <c r="H90" s="12">
        <f t="shared" ref="H90:S90" si="47">H91</f>
        <v>0</v>
      </c>
      <c r="I90" s="12">
        <f t="shared" si="47"/>
        <v>0</v>
      </c>
      <c r="J90" s="12">
        <f t="shared" si="47"/>
        <v>0</v>
      </c>
      <c r="K90" s="12">
        <f t="shared" si="47"/>
        <v>0</v>
      </c>
      <c r="L90" s="12">
        <f t="shared" si="47"/>
        <v>0</v>
      </c>
      <c r="M90" s="12">
        <f t="shared" si="47"/>
        <v>0</v>
      </c>
      <c r="N90" s="12">
        <f t="shared" si="47"/>
        <v>0</v>
      </c>
      <c r="O90" s="12">
        <f t="shared" si="47"/>
        <v>0</v>
      </c>
      <c r="P90" s="12">
        <f t="shared" si="47"/>
        <v>0</v>
      </c>
      <c r="Q90" s="12">
        <f t="shared" si="47"/>
        <v>0</v>
      </c>
      <c r="R90" s="12">
        <f t="shared" si="47"/>
        <v>0</v>
      </c>
      <c r="S90" s="12">
        <f t="shared" si="47"/>
        <v>784.63</v>
      </c>
    </row>
    <row r="91" spans="1:19" ht="23.25" x14ac:dyDescent="0.25">
      <c r="A91" s="35" t="s">
        <v>366</v>
      </c>
      <c r="B91" s="109" t="s">
        <v>361</v>
      </c>
      <c r="C91" s="47"/>
      <c r="D91" s="47"/>
      <c r="E91" s="47"/>
      <c r="F91" s="47"/>
      <c r="G91" s="12">
        <v>785</v>
      </c>
      <c r="H91" s="12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784.63</v>
      </c>
    </row>
    <row r="92" spans="1:19" ht="24" customHeight="1" x14ac:dyDescent="0.25">
      <c r="A92" s="21" t="s">
        <v>151</v>
      </c>
      <c r="B92" s="45"/>
      <c r="C92" s="42"/>
      <c r="D92" s="42"/>
      <c r="E92" s="42"/>
      <c r="F92" s="43"/>
      <c r="G92" s="12">
        <f t="shared" ref="G92:S92" si="48">G13</f>
        <v>84322650.840000004</v>
      </c>
      <c r="H92" s="12">
        <f t="shared" si="48"/>
        <v>2987857.73</v>
      </c>
      <c r="I92" s="12">
        <f t="shared" si="48"/>
        <v>6378090.4899999984</v>
      </c>
      <c r="J92" s="12">
        <f t="shared" si="48"/>
        <v>6945712.8999999985</v>
      </c>
      <c r="K92" s="12">
        <f t="shared" si="48"/>
        <v>7948277.0499999989</v>
      </c>
      <c r="L92" s="12">
        <f t="shared" si="48"/>
        <v>7004543.5499999989</v>
      </c>
      <c r="M92" s="12">
        <f t="shared" si="48"/>
        <v>6555747.919999999</v>
      </c>
      <c r="N92" s="12">
        <f t="shared" si="48"/>
        <v>6752517.5600000005</v>
      </c>
      <c r="O92" s="12">
        <f t="shared" si="48"/>
        <v>5268723.8800000008</v>
      </c>
      <c r="P92" s="12">
        <f t="shared" si="48"/>
        <v>6475094.7399999993</v>
      </c>
      <c r="Q92" s="12">
        <f t="shared" si="48"/>
        <v>6567475.8600000013</v>
      </c>
      <c r="R92" s="12">
        <f t="shared" si="48"/>
        <v>6855181.3400000008</v>
      </c>
      <c r="S92" s="12">
        <f t="shared" si="48"/>
        <v>14300031.590000002</v>
      </c>
    </row>
    <row r="93" spans="1:19" ht="22.5" x14ac:dyDescent="0.25">
      <c r="A93" s="21" t="s">
        <v>42</v>
      </c>
      <c r="B93" s="44" t="s">
        <v>43</v>
      </c>
      <c r="C93" s="42"/>
      <c r="D93" s="42"/>
      <c r="E93" s="42"/>
      <c r="F93" s="43"/>
      <c r="G93" s="12">
        <f>G94+G126+G131</f>
        <v>418554167.26999998</v>
      </c>
      <c r="H93" s="12">
        <f>H94+H126+H131</f>
        <v>27349706.960000001</v>
      </c>
      <c r="I93" s="12">
        <f t="shared" ref="I93:S93" si="49">I94+I126+I131</f>
        <v>30371076.699999999</v>
      </c>
      <c r="J93" s="12">
        <f t="shared" si="49"/>
        <v>31340372.539999999</v>
      </c>
      <c r="K93" s="12">
        <f t="shared" si="49"/>
        <v>36989861.909999996</v>
      </c>
      <c r="L93" s="12">
        <f t="shared" si="49"/>
        <v>41627411.369999997</v>
      </c>
      <c r="M93" s="12">
        <f t="shared" si="49"/>
        <v>39328132.049999997</v>
      </c>
      <c r="N93" s="12">
        <f t="shared" si="49"/>
        <v>29764073.589999996</v>
      </c>
      <c r="O93" s="12">
        <f t="shared" si="49"/>
        <v>20246742.82</v>
      </c>
      <c r="P93" s="12">
        <f t="shared" si="49"/>
        <v>25776586.609999999</v>
      </c>
      <c r="Q93" s="12">
        <f t="shared" si="49"/>
        <v>40319658.25</v>
      </c>
      <c r="R93" s="12">
        <f t="shared" si="49"/>
        <v>37139710.469999999</v>
      </c>
      <c r="S93" s="12">
        <f t="shared" si="49"/>
        <v>52885797.07</v>
      </c>
    </row>
    <row r="94" spans="1:19" ht="56.25" customHeight="1" x14ac:dyDescent="0.25">
      <c r="A94" s="21" t="s">
        <v>44</v>
      </c>
      <c r="B94" s="44" t="s">
        <v>45</v>
      </c>
      <c r="C94" s="42"/>
      <c r="D94" s="42"/>
      <c r="E94" s="42"/>
      <c r="F94" s="43"/>
      <c r="G94" s="12">
        <f t="shared" ref="G94:S94" si="50">G95+G111+G102</f>
        <v>418554167.26999998</v>
      </c>
      <c r="H94" s="12">
        <f t="shared" si="50"/>
        <v>27616960.73</v>
      </c>
      <c r="I94" s="12">
        <f t="shared" ref="I94" si="51">I95+I111+I102</f>
        <v>30351487.960000001</v>
      </c>
      <c r="J94" s="12">
        <f t="shared" ref="J94" si="52">J95+J111+J102</f>
        <v>31350372.539999999</v>
      </c>
      <c r="K94" s="12">
        <f t="shared" ref="K94" si="53">K95+K111+K102</f>
        <v>36989861.909999996</v>
      </c>
      <c r="L94" s="12">
        <f t="shared" ref="L94" si="54">L95+L111+L102</f>
        <v>41627411.369999997</v>
      </c>
      <c r="M94" s="12">
        <f t="shared" ref="M94" si="55">M95+M111+M102</f>
        <v>39328132.049999997</v>
      </c>
      <c r="N94" s="12">
        <f t="shared" ref="N94" si="56">N95+N111+N102</f>
        <v>29764073.589999996</v>
      </c>
      <c r="O94" s="12">
        <f t="shared" ref="O94" si="57">O95+O111+O102</f>
        <v>20246742.82</v>
      </c>
      <c r="P94" s="12">
        <f t="shared" ref="P94" si="58">P95+P111+P102</f>
        <v>25776586.609999999</v>
      </c>
      <c r="Q94" s="12">
        <f t="shared" ref="Q94" si="59">Q95+Q111+Q102</f>
        <v>40319658.25</v>
      </c>
      <c r="R94" s="12">
        <f t="shared" ref="R94" si="60">R95+R111+R102</f>
        <v>37139710.469999999</v>
      </c>
      <c r="S94" s="12">
        <f t="shared" si="50"/>
        <v>52885797.07</v>
      </c>
    </row>
    <row r="95" spans="1:19" ht="33.75" x14ac:dyDescent="0.25">
      <c r="A95" s="21" t="s">
        <v>46</v>
      </c>
      <c r="B95" s="44" t="s">
        <v>304</v>
      </c>
      <c r="C95" s="42"/>
      <c r="D95" s="42"/>
      <c r="E95" s="42"/>
      <c r="F95" s="43"/>
      <c r="G95" s="12">
        <f>G96+G100+G98</f>
        <v>212887476</v>
      </c>
      <c r="H95" s="12">
        <f t="shared" ref="H95:S95" si="61">H96+H100+H98</f>
        <v>17727940</v>
      </c>
      <c r="I95" s="12">
        <f t="shared" si="61"/>
        <v>17727940</v>
      </c>
      <c r="J95" s="12">
        <f t="shared" si="61"/>
        <v>17727939</v>
      </c>
      <c r="K95" s="12">
        <f t="shared" si="61"/>
        <v>17727939</v>
      </c>
      <c r="L95" s="12">
        <f t="shared" si="61"/>
        <v>17727939</v>
      </c>
      <c r="M95" s="12">
        <f t="shared" si="61"/>
        <v>17727941</v>
      </c>
      <c r="N95" s="12">
        <f t="shared" si="61"/>
        <v>17727941</v>
      </c>
      <c r="O95" s="12">
        <f t="shared" si="61"/>
        <v>17727941</v>
      </c>
      <c r="P95" s="12">
        <f t="shared" si="61"/>
        <v>17727937</v>
      </c>
      <c r="Q95" s="12">
        <f t="shared" si="61"/>
        <v>17778338</v>
      </c>
      <c r="R95" s="12">
        <f t="shared" si="61"/>
        <v>17778338</v>
      </c>
      <c r="S95" s="12">
        <f t="shared" si="61"/>
        <v>17779343</v>
      </c>
    </row>
    <row r="96" spans="1:19" ht="22.5" customHeight="1" x14ac:dyDescent="0.25">
      <c r="A96" s="21" t="s">
        <v>152</v>
      </c>
      <c r="B96" s="44" t="s">
        <v>303</v>
      </c>
      <c r="C96" s="42"/>
      <c r="D96" s="42"/>
      <c r="E96" s="42"/>
      <c r="F96" s="43"/>
      <c r="G96" s="12">
        <f>G97</f>
        <v>70955276</v>
      </c>
      <c r="H96" s="12">
        <f t="shared" ref="H96:S96" si="62">H97</f>
        <v>5912940</v>
      </c>
      <c r="I96" s="12">
        <f t="shared" si="62"/>
        <v>5912940</v>
      </c>
      <c r="J96" s="12">
        <f t="shared" si="62"/>
        <v>5912939</v>
      </c>
      <c r="K96" s="12">
        <f t="shared" si="62"/>
        <v>5912939</v>
      </c>
      <c r="L96" s="12">
        <f t="shared" si="62"/>
        <v>5912939</v>
      </c>
      <c r="M96" s="12">
        <f t="shared" si="62"/>
        <v>5912941</v>
      </c>
      <c r="N96" s="12">
        <f t="shared" si="62"/>
        <v>5912941</v>
      </c>
      <c r="O96" s="12">
        <f t="shared" si="62"/>
        <v>5912941</v>
      </c>
      <c r="P96" s="12">
        <f t="shared" si="62"/>
        <v>5912937</v>
      </c>
      <c r="Q96" s="12">
        <f t="shared" si="62"/>
        <v>5912938</v>
      </c>
      <c r="R96" s="12">
        <f t="shared" si="62"/>
        <v>5912938</v>
      </c>
      <c r="S96" s="12">
        <f t="shared" si="62"/>
        <v>5912943</v>
      </c>
    </row>
    <row r="97" spans="1:19" ht="78.75" customHeight="1" x14ac:dyDescent="0.25">
      <c r="A97" s="21" t="s">
        <v>153</v>
      </c>
      <c r="B97" s="41" t="s">
        <v>300</v>
      </c>
      <c r="C97" s="42"/>
      <c r="D97" s="42"/>
      <c r="E97" s="42"/>
      <c r="F97" s="43"/>
      <c r="G97" s="12">
        <v>70955276</v>
      </c>
      <c r="H97" s="13">
        <v>5912940</v>
      </c>
      <c r="I97" s="13">
        <f>11825880-H97</f>
        <v>5912940</v>
      </c>
      <c r="J97" s="13">
        <v>5912939</v>
      </c>
      <c r="K97" s="13">
        <v>5912939</v>
      </c>
      <c r="L97" s="13">
        <v>5912939</v>
      </c>
      <c r="M97" s="13">
        <v>5912941</v>
      </c>
      <c r="N97" s="13">
        <v>5912941</v>
      </c>
      <c r="O97" s="13">
        <v>5912941</v>
      </c>
      <c r="P97" s="13">
        <v>5912937</v>
      </c>
      <c r="Q97" s="13">
        <v>5912938</v>
      </c>
      <c r="R97" s="13">
        <v>5912938</v>
      </c>
      <c r="S97" s="13">
        <v>5912943</v>
      </c>
    </row>
    <row r="98" spans="1:19" ht="57.75" customHeight="1" x14ac:dyDescent="0.25">
      <c r="A98" s="36" t="s">
        <v>343</v>
      </c>
      <c r="B98" s="46" t="s">
        <v>341</v>
      </c>
      <c r="C98" s="47"/>
      <c r="D98" s="47"/>
      <c r="E98" s="47"/>
      <c r="F98" s="47"/>
      <c r="G98" s="12">
        <f>G99</f>
        <v>151200</v>
      </c>
      <c r="H98" s="12">
        <f t="shared" ref="H98:S98" si="63">H99</f>
        <v>0</v>
      </c>
      <c r="I98" s="12">
        <f t="shared" si="63"/>
        <v>0</v>
      </c>
      <c r="J98" s="12">
        <f t="shared" si="63"/>
        <v>0</v>
      </c>
      <c r="K98" s="12">
        <f t="shared" si="63"/>
        <v>0</v>
      </c>
      <c r="L98" s="12">
        <f t="shared" si="63"/>
        <v>0</v>
      </c>
      <c r="M98" s="12">
        <f t="shared" si="63"/>
        <v>0</v>
      </c>
      <c r="N98" s="12">
        <f t="shared" si="63"/>
        <v>0</v>
      </c>
      <c r="O98" s="12">
        <f t="shared" si="63"/>
        <v>0</v>
      </c>
      <c r="P98" s="12">
        <f t="shared" si="63"/>
        <v>0</v>
      </c>
      <c r="Q98" s="12">
        <f t="shared" si="63"/>
        <v>50400</v>
      </c>
      <c r="R98" s="12">
        <f t="shared" si="63"/>
        <v>50400</v>
      </c>
      <c r="S98" s="12">
        <f t="shared" si="63"/>
        <v>50400</v>
      </c>
    </row>
    <row r="99" spans="1:19" ht="71.25" customHeight="1" x14ac:dyDescent="0.25">
      <c r="A99" s="36" t="s">
        <v>344</v>
      </c>
      <c r="B99" s="46" t="s">
        <v>342</v>
      </c>
      <c r="C99" s="47"/>
      <c r="D99" s="47"/>
      <c r="E99" s="47"/>
      <c r="F99" s="47"/>
      <c r="G99" s="12">
        <v>151200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50400</v>
      </c>
      <c r="R99" s="13">
        <v>50400</v>
      </c>
      <c r="S99" s="13">
        <v>50400</v>
      </c>
    </row>
    <row r="100" spans="1:19" ht="69" customHeight="1" x14ac:dyDescent="0.25">
      <c r="A100" s="21" t="s">
        <v>154</v>
      </c>
      <c r="B100" s="41" t="s">
        <v>301</v>
      </c>
      <c r="C100" s="42"/>
      <c r="D100" s="42"/>
      <c r="E100" s="42"/>
      <c r="F100" s="43"/>
      <c r="G100" s="12">
        <f>G101</f>
        <v>141781000</v>
      </c>
      <c r="H100" s="12">
        <f t="shared" ref="H100:S100" si="64">H101</f>
        <v>11815000</v>
      </c>
      <c r="I100" s="12">
        <f t="shared" si="64"/>
        <v>11815000</v>
      </c>
      <c r="J100" s="12">
        <f t="shared" si="64"/>
        <v>11815000</v>
      </c>
      <c r="K100" s="12">
        <f t="shared" si="64"/>
        <v>11815000</v>
      </c>
      <c r="L100" s="12">
        <f t="shared" si="64"/>
        <v>11815000</v>
      </c>
      <c r="M100" s="12">
        <f t="shared" si="64"/>
        <v>11815000</v>
      </c>
      <c r="N100" s="12">
        <f t="shared" si="64"/>
        <v>11815000</v>
      </c>
      <c r="O100" s="12">
        <f t="shared" si="64"/>
        <v>11815000</v>
      </c>
      <c r="P100" s="12">
        <f t="shared" si="64"/>
        <v>11815000</v>
      </c>
      <c r="Q100" s="12">
        <f t="shared" si="64"/>
        <v>11815000</v>
      </c>
      <c r="R100" s="12">
        <f t="shared" si="64"/>
        <v>11815000</v>
      </c>
      <c r="S100" s="12">
        <f t="shared" si="64"/>
        <v>11816000</v>
      </c>
    </row>
    <row r="101" spans="1:19" ht="69" customHeight="1" x14ac:dyDescent="0.25">
      <c r="A101" s="21" t="s">
        <v>155</v>
      </c>
      <c r="B101" s="41" t="s">
        <v>302</v>
      </c>
      <c r="C101" s="42"/>
      <c r="D101" s="42"/>
      <c r="E101" s="42"/>
      <c r="F101" s="43"/>
      <c r="G101" s="12">
        <v>141781000</v>
      </c>
      <c r="H101" s="13">
        <v>11815000</v>
      </c>
      <c r="I101" s="13">
        <f>23630000-H101</f>
        <v>11815000</v>
      </c>
      <c r="J101" s="13">
        <v>11815000</v>
      </c>
      <c r="K101" s="13">
        <v>11815000</v>
      </c>
      <c r="L101" s="13">
        <v>11815000</v>
      </c>
      <c r="M101" s="13">
        <v>11815000</v>
      </c>
      <c r="N101" s="13">
        <v>11815000</v>
      </c>
      <c r="O101" s="13">
        <v>11815000</v>
      </c>
      <c r="P101" s="13">
        <v>11815000</v>
      </c>
      <c r="Q101" s="13">
        <v>11815000</v>
      </c>
      <c r="R101" s="13">
        <v>11815000</v>
      </c>
      <c r="S101" s="13">
        <v>11816000</v>
      </c>
    </row>
    <row r="102" spans="1:19" ht="43.5" customHeight="1" x14ac:dyDescent="0.25">
      <c r="A102" s="21" t="s">
        <v>47</v>
      </c>
      <c r="B102" s="44" t="s">
        <v>48</v>
      </c>
      <c r="C102" s="42"/>
      <c r="D102" s="42"/>
      <c r="E102" s="42"/>
      <c r="F102" s="43"/>
      <c r="G102" s="12">
        <f>G109+G107+G105+G103</f>
        <v>55406020.450000003</v>
      </c>
      <c r="H102" s="12">
        <f>H109+H107+H105+H103</f>
        <v>0</v>
      </c>
      <c r="I102" s="12">
        <f t="shared" ref="I102:S102" si="65">I109+I107+I105+I103</f>
        <v>0</v>
      </c>
      <c r="J102" s="12">
        <f t="shared" si="65"/>
        <v>130725</v>
      </c>
      <c r="K102" s="12">
        <f t="shared" si="65"/>
        <v>5847278.4400000004</v>
      </c>
      <c r="L102" s="12">
        <f t="shared" si="65"/>
        <v>733333.15</v>
      </c>
      <c r="M102" s="12">
        <f t="shared" si="65"/>
        <v>3972934.5300000003</v>
      </c>
      <c r="N102" s="12">
        <f t="shared" si="65"/>
        <v>1090761</v>
      </c>
      <c r="O102" s="12">
        <f t="shared" si="65"/>
        <v>639151.98</v>
      </c>
      <c r="P102" s="12">
        <f t="shared" si="65"/>
        <v>4008425.68</v>
      </c>
      <c r="Q102" s="12">
        <f t="shared" si="65"/>
        <v>14306531.58</v>
      </c>
      <c r="R102" s="12">
        <f t="shared" si="65"/>
        <v>11477208.699999999</v>
      </c>
      <c r="S102" s="12">
        <f t="shared" si="65"/>
        <v>10496048.789999999</v>
      </c>
    </row>
    <row r="103" spans="1:19" ht="93" customHeight="1" x14ac:dyDescent="0.25">
      <c r="A103" s="35" t="s">
        <v>352</v>
      </c>
      <c r="B103" s="46" t="s">
        <v>345</v>
      </c>
      <c r="C103" s="47"/>
      <c r="D103" s="47"/>
      <c r="E103" s="47"/>
      <c r="F103" s="47"/>
      <c r="G103" s="12">
        <f>G104</f>
        <v>27293201</v>
      </c>
      <c r="H103" s="12">
        <f t="shared" ref="H103:S103" si="66">H104</f>
        <v>0</v>
      </c>
      <c r="I103" s="12">
        <f t="shared" si="66"/>
        <v>0</v>
      </c>
      <c r="J103" s="12">
        <f t="shared" si="66"/>
        <v>0</v>
      </c>
      <c r="K103" s="12">
        <f t="shared" si="66"/>
        <v>0</v>
      </c>
      <c r="L103" s="12">
        <f t="shared" si="66"/>
        <v>0</v>
      </c>
      <c r="M103" s="12">
        <f t="shared" si="66"/>
        <v>0</v>
      </c>
      <c r="N103" s="12">
        <f t="shared" si="66"/>
        <v>0</v>
      </c>
      <c r="O103" s="12">
        <f t="shared" si="66"/>
        <v>0</v>
      </c>
      <c r="P103" s="12">
        <f t="shared" si="66"/>
        <v>0</v>
      </c>
      <c r="Q103" s="12">
        <f t="shared" si="66"/>
        <v>11834560.66</v>
      </c>
      <c r="R103" s="12">
        <f t="shared" si="66"/>
        <v>10000000</v>
      </c>
      <c r="S103" s="12">
        <f t="shared" si="66"/>
        <v>5458640.3399999999</v>
      </c>
    </row>
    <row r="104" spans="1:19" ht="105.75" customHeight="1" x14ac:dyDescent="0.25">
      <c r="A104" s="35" t="s">
        <v>353</v>
      </c>
      <c r="B104" s="46" t="s">
        <v>346</v>
      </c>
      <c r="C104" s="47"/>
      <c r="D104" s="47"/>
      <c r="E104" s="47"/>
      <c r="F104" s="47"/>
      <c r="G104" s="12">
        <v>27293201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11834560.66</v>
      </c>
      <c r="R104" s="13">
        <v>10000000</v>
      </c>
      <c r="S104" s="13">
        <v>5458640.3399999999</v>
      </c>
    </row>
    <row r="105" spans="1:19" ht="23.25" x14ac:dyDescent="0.25">
      <c r="A105" s="35" t="s">
        <v>356</v>
      </c>
      <c r="B105" s="46" t="s">
        <v>347</v>
      </c>
      <c r="C105" s="47"/>
      <c r="D105" s="47"/>
      <c r="E105" s="47"/>
      <c r="F105" s="47"/>
      <c r="G105" s="12">
        <f>G106</f>
        <v>53743.37</v>
      </c>
      <c r="H105" s="12">
        <f t="shared" ref="H105:S105" si="67">H106</f>
        <v>0</v>
      </c>
      <c r="I105" s="12">
        <f t="shared" si="67"/>
        <v>0</v>
      </c>
      <c r="J105" s="12">
        <f t="shared" si="67"/>
        <v>0</v>
      </c>
      <c r="K105" s="12">
        <f t="shared" si="67"/>
        <v>0</v>
      </c>
      <c r="L105" s="12">
        <f t="shared" si="67"/>
        <v>0</v>
      </c>
      <c r="M105" s="12">
        <f t="shared" si="67"/>
        <v>53743.37</v>
      </c>
      <c r="N105" s="12">
        <f t="shared" si="67"/>
        <v>0</v>
      </c>
      <c r="O105" s="12">
        <f t="shared" si="67"/>
        <v>0</v>
      </c>
      <c r="P105" s="12">
        <f t="shared" si="67"/>
        <v>0</v>
      </c>
      <c r="Q105" s="12">
        <f t="shared" si="67"/>
        <v>0</v>
      </c>
      <c r="R105" s="12">
        <f t="shared" si="67"/>
        <v>0</v>
      </c>
      <c r="S105" s="12">
        <f t="shared" si="67"/>
        <v>0</v>
      </c>
    </row>
    <row r="106" spans="1:19" ht="34.5" x14ac:dyDescent="0.25">
      <c r="A106" s="35" t="s">
        <v>355</v>
      </c>
      <c r="B106" s="46" t="s">
        <v>348</v>
      </c>
      <c r="C106" s="47"/>
      <c r="D106" s="47"/>
      <c r="E106" s="47"/>
      <c r="F106" s="47"/>
      <c r="G106" s="12">
        <v>53743.37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53743.37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</row>
    <row r="107" spans="1:19" ht="45.75" x14ac:dyDescent="0.25">
      <c r="A107" s="35" t="s">
        <v>354</v>
      </c>
      <c r="B107" s="46" t="s">
        <v>349</v>
      </c>
      <c r="C107" s="47"/>
      <c r="D107" s="47"/>
      <c r="E107" s="47"/>
      <c r="F107" s="47"/>
      <c r="G107" s="12">
        <f>G108</f>
        <v>3338230</v>
      </c>
      <c r="H107" s="12">
        <f t="shared" ref="H107:S107" si="68">H108</f>
        <v>0</v>
      </c>
      <c r="I107" s="12">
        <f t="shared" si="68"/>
        <v>0</v>
      </c>
      <c r="J107" s="12">
        <f t="shared" si="68"/>
        <v>0</v>
      </c>
      <c r="K107" s="12">
        <f t="shared" si="68"/>
        <v>0</v>
      </c>
      <c r="L107" s="12">
        <f t="shared" si="68"/>
        <v>0</v>
      </c>
      <c r="M107" s="12">
        <f t="shared" si="68"/>
        <v>0</v>
      </c>
      <c r="N107" s="12">
        <f t="shared" si="68"/>
        <v>0</v>
      </c>
      <c r="O107" s="12">
        <f t="shared" si="68"/>
        <v>0</v>
      </c>
      <c r="P107" s="12">
        <f t="shared" si="68"/>
        <v>2987715.68</v>
      </c>
      <c r="Q107" s="12">
        <f t="shared" si="68"/>
        <v>350514.32</v>
      </c>
      <c r="R107" s="12">
        <f t="shared" si="68"/>
        <v>0</v>
      </c>
      <c r="S107" s="12">
        <f t="shared" si="68"/>
        <v>0</v>
      </c>
    </row>
    <row r="108" spans="1:19" ht="57" x14ac:dyDescent="0.25">
      <c r="A108" s="35" t="s">
        <v>350</v>
      </c>
      <c r="B108" s="46" t="s">
        <v>351</v>
      </c>
      <c r="C108" s="47"/>
      <c r="D108" s="47"/>
      <c r="E108" s="47"/>
      <c r="F108" s="47"/>
      <c r="G108" s="12">
        <v>3338230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2987715.68</v>
      </c>
      <c r="Q108" s="13">
        <v>350514.32</v>
      </c>
      <c r="R108" s="13">
        <v>0</v>
      </c>
      <c r="S108" s="13">
        <v>0</v>
      </c>
    </row>
    <row r="109" spans="1:19" x14ac:dyDescent="0.25">
      <c r="A109" s="21" t="s">
        <v>156</v>
      </c>
      <c r="B109" s="51" t="s">
        <v>157</v>
      </c>
      <c r="C109" s="113"/>
      <c r="D109" s="113"/>
      <c r="E109" s="113"/>
      <c r="F109" s="114"/>
      <c r="G109" s="12">
        <f>G110</f>
        <v>24720846.079999998</v>
      </c>
      <c r="H109" s="12">
        <f t="shared" ref="H109:S109" si="69">H110</f>
        <v>0</v>
      </c>
      <c r="I109" s="12">
        <f t="shared" si="69"/>
        <v>0</v>
      </c>
      <c r="J109" s="12">
        <f t="shared" si="69"/>
        <v>130725</v>
      </c>
      <c r="K109" s="12">
        <f t="shared" si="69"/>
        <v>5847278.4400000004</v>
      </c>
      <c r="L109" s="12">
        <f t="shared" si="69"/>
        <v>733333.15</v>
      </c>
      <c r="M109" s="12">
        <f t="shared" si="69"/>
        <v>3919191.16</v>
      </c>
      <c r="N109" s="12">
        <f t="shared" si="69"/>
        <v>1090761</v>
      </c>
      <c r="O109" s="12">
        <f t="shared" si="69"/>
        <v>639151.98</v>
      </c>
      <c r="P109" s="12">
        <f t="shared" si="69"/>
        <v>1020710</v>
      </c>
      <c r="Q109" s="12">
        <f t="shared" si="69"/>
        <v>2121456.6</v>
      </c>
      <c r="R109" s="12">
        <f t="shared" si="69"/>
        <v>1477208.7</v>
      </c>
      <c r="S109" s="12">
        <f t="shared" si="69"/>
        <v>5037408.45</v>
      </c>
    </row>
    <row r="110" spans="1:19" ht="21.75" customHeight="1" x14ac:dyDescent="0.25">
      <c r="A110" s="21" t="s">
        <v>158</v>
      </c>
      <c r="B110" s="72" t="s">
        <v>159</v>
      </c>
      <c r="C110" s="52"/>
      <c r="D110" s="52"/>
      <c r="E110" s="52"/>
      <c r="F110" s="53"/>
      <c r="G110" s="12">
        <v>24720846.079999998</v>
      </c>
      <c r="H110" s="13">
        <v>0</v>
      </c>
      <c r="I110" s="13">
        <v>0</v>
      </c>
      <c r="J110" s="13">
        <v>130725</v>
      </c>
      <c r="K110" s="13">
        <v>5847278.4400000004</v>
      </c>
      <c r="L110" s="13">
        <v>733333.15</v>
      </c>
      <c r="M110" s="13">
        <v>3919191.16</v>
      </c>
      <c r="N110" s="13">
        <v>1090761</v>
      </c>
      <c r="O110" s="13">
        <v>639151.98</v>
      </c>
      <c r="P110" s="13">
        <v>1020710</v>
      </c>
      <c r="Q110" s="13">
        <v>2121456.6</v>
      </c>
      <c r="R110" s="13">
        <v>1477208.7</v>
      </c>
      <c r="S110" s="13">
        <v>5037408.45</v>
      </c>
    </row>
    <row r="111" spans="1:19" ht="33.75" x14ac:dyDescent="0.25">
      <c r="A111" s="21" t="s">
        <v>49</v>
      </c>
      <c r="B111" s="72" t="s">
        <v>50</v>
      </c>
      <c r="C111" s="52"/>
      <c r="D111" s="52"/>
      <c r="E111" s="52"/>
      <c r="F111" s="53"/>
      <c r="G111" s="12">
        <f>G122+G118+G124+G114+G116+G120+G112</f>
        <v>150260670.81999999</v>
      </c>
      <c r="H111" s="12">
        <f t="shared" ref="H111:S111" si="70">H122+H118+H124+H114+H116+H120+H112</f>
        <v>9889020.7300000004</v>
      </c>
      <c r="I111" s="12">
        <f t="shared" si="70"/>
        <v>12623547.960000001</v>
      </c>
      <c r="J111" s="12">
        <f t="shared" si="70"/>
        <v>13491708.539999999</v>
      </c>
      <c r="K111" s="12">
        <f t="shared" si="70"/>
        <v>13414644.469999999</v>
      </c>
      <c r="L111" s="12">
        <f t="shared" si="70"/>
        <v>23166139.219999999</v>
      </c>
      <c r="M111" s="12">
        <f t="shared" si="70"/>
        <v>17627256.52</v>
      </c>
      <c r="N111" s="12">
        <f t="shared" si="70"/>
        <v>10945371.589999998</v>
      </c>
      <c r="O111" s="12">
        <f t="shared" si="70"/>
        <v>1879649.8399999999</v>
      </c>
      <c r="P111" s="12">
        <f t="shared" si="70"/>
        <v>4040223.9299999997</v>
      </c>
      <c r="Q111" s="12">
        <f t="shared" si="70"/>
        <v>8234788.6699999999</v>
      </c>
      <c r="R111" s="12">
        <f t="shared" si="70"/>
        <v>7884163.7699999996</v>
      </c>
      <c r="S111" s="12">
        <f t="shared" si="70"/>
        <v>24610405.279999997</v>
      </c>
    </row>
    <row r="112" spans="1:19" ht="45" customHeight="1" x14ac:dyDescent="0.25">
      <c r="A112" s="21" t="s">
        <v>160</v>
      </c>
      <c r="B112" s="51" t="s">
        <v>161</v>
      </c>
      <c r="C112" s="52"/>
      <c r="D112" s="52"/>
      <c r="E112" s="52"/>
      <c r="F112" s="53"/>
      <c r="G112" s="12">
        <f>G113</f>
        <v>15749039.5</v>
      </c>
      <c r="H112" s="12">
        <f t="shared" ref="H112:S112" si="71">H113</f>
        <v>591087.32999999996</v>
      </c>
      <c r="I112" s="12">
        <f t="shared" si="71"/>
        <v>1928799.7199999997</v>
      </c>
      <c r="J112" s="12">
        <f t="shared" si="71"/>
        <v>1343660.89</v>
      </c>
      <c r="K112" s="12">
        <f t="shared" si="71"/>
        <v>1506426.84</v>
      </c>
      <c r="L112" s="12">
        <f t="shared" si="71"/>
        <v>1223269.08</v>
      </c>
      <c r="M112" s="12">
        <f t="shared" si="71"/>
        <v>1016504.55</v>
      </c>
      <c r="N112" s="12">
        <f t="shared" si="71"/>
        <v>882945.2</v>
      </c>
      <c r="O112" s="12">
        <f t="shared" si="71"/>
        <v>414930.14</v>
      </c>
      <c r="P112" s="12">
        <f t="shared" si="71"/>
        <v>971708.67</v>
      </c>
      <c r="Q112" s="12">
        <f t="shared" si="71"/>
        <v>1487716.41</v>
      </c>
      <c r="R112" s="12">
        <f t="shared" si="71"/>
        <v>1341739.1399999999</v>
      </c>
      <c r="S112" s="12">
        <f t="shared" si="71"/>
        <v>1658810.74</v>
      </c>
    </row>
    <row r="113" spans="1:19" ht="59.25" customHeight="1" x14ac:dyDescent="0.25">
      <c r="A113" s="21" t="s">
        <v>162</v>
      </c>
      <c r="B113" s="51" t="s">
        <v>305</v>
      </c>
      <c r="C113" s="52"/>
      <c r="D113" s="52"/>
      <c r="E113" s="52"/>
      <c r="F113" s="53"/>
      <c r="G113" s="12">
        <v>15749039.5</v>
      </c>
      <c r="H113" s="13">
        <v>591087.32999999996</v>
      </c>
      <c r="I113" s="13">
        <f>2519887.05-H113</f>
        <v>1928799.7199999997</v>
      </c>
      <c r="J113" s="13">
        <v>1343660.89</v>
      </c>
      <c r="K113" s="13">
        <v>1506426.84</v>
      </c>
      <c r="L113" s="13">
        <v>1223269.08</v>
      </c>
      <c r="M113" s="13">
        <v>1016504.55</v>
      </c>
      <c r="N113" s="13">
        <v>882945.2</v>
      </c>
      <c r="O113" s="13">
        <v>414930.14</v>
      </c>
      <c r="P113" s="13">
        <v>971708.67</v>
      </c>
      <c r="Q113" s="13">
        <v>1487716.41</v>
      </c>
      <c r="R113" s="13">
        <v>1341739.1399999999</v>
      </c>
      <c r="S113" s="13">
        <v>1658810.74</v>
      </c>
    </row>
    <row r="114" spans="1:19" ht="68.25" customHeight="1" x14ac:dyDescent="0.25">
      <c r="A114" s="21" t="s">
        <v>163</v>
      </c>
      <c r="B114" s="51" t="s">
        <v>164</v>
      </c>
      <c r="C114" s="52"/>
      <c r="D114" s="52"/>
      <c r="E114" s="52"/>
      <c r="F114" s="53"/>
      <c r="G114" s="12">
        <f>G115</f>
        <v>4842700</v>
      </c>
      <c r="H114" s="12">
        <f t="shared" ref="H114:S114" si="72">H115</f>
        <v>339848.51</v>
      </c>
      <c r="I114" s="12">
        <f t="shared" si="72"/>
        <v>347638.30999999994</v>
      </c>
      <c r="J114" s="12">
        <f t="shared" si="72"/>
        <v>348261.54</v>
      </c>
      <c r="K114" s="12">
        <f t="shared" si="72"/>
        <v>348261.53</v>
      </c>
      <c r="L114" s="12">
        <f t="shared" si="72"/>
        <v>602296.6</v>
      </c>
      <c r="M114" s="12">
        <f t="shared" si="72"/>
        <v>337332.77</v>
      </c>
      <c r="N114" s="12">
        <f t="shared" si="72"/>
        <v>312197.78000000003</v>
      </c>
      <c r="O114" s="12">
        <f t="shared" si="72"/>
        <v>378586.5</v>
      </c>
      <c r="P114" s="12">
        <f t="shared" si="72"/>
        <v>356531.75</v>
      </c>
      <c r="Q114" s="12">
        <f t="shared" si="72"/>
        <v>408516.6</v>
      </c>
      <c r="R114" s="12">
        <f t="shared" si="72"/>
        <v>141944.22</v>
      </c>
      <c r="S114" s="12">
        <f t="shared" si="72"/>
        <v>544934.38</v>
      </c>
    </row>
    <row r="115" spans="1:19" ht="90" customHeight="1" x14ac:dyDescent="0.25">
      <c r="A115" s="21" t="s">
        <v>165</v>
      </c>
      <c r="B115" s="51" t="s">
        <v>166</v>
      </c>
      <c r="C115" s="52"/>
      <c r="D115" s="52"/>
      <c r="E115" s="52"/>
      <c r="F115" s="53"/>
      <c r="G115" s="12">
        <v>4842700</v>
      </c>
      <c r="H115" s="13">
        <v>339848.51</v>
      </c>
      <c r="I115" s="13">
        <f>687486.82-H115</f>
        <v>347638.30999999994</v>
      </c>
      <c r="J115" s="13">
        <v>348261.54</v>
      </c>
      <c r="K115" s="13">
        <v>348261.53</v>
      </c>
      <c r="L115" s="13">
        <v>602296.6</v>
      </c>
      <c r="M115" s="13">
        <v>337332.77</v>
      </c>
      <c r="N115" s="13">
        <v>312197.78000000003</v>
      </c>
      <c r="O115" s="13">
        <v>378586.5</v>
      </c>
      <c r="P115" s="13">
        <v>356531.75</v>
      </c>
      <c r="Q115" s="13">
        <v>408516.6</v>
      </c>
      <c r="R115" s="13">
        <v>141944.22</v>
      </c>
      <c r="S115" s="13">
        <v>544934.38</v>
      </c>
    </row>
    <row r="116" spans="1:19" ht="112.5" customHeight="1" x14ac:dyDescent="0.25">
      <c r="A116" s="21" t="s">
        <v>167</v>
      </c>
      <c r="B116" s="51" t="s">
        <v>168</v>
      </c>
      <c r="C116" s="52"/>
      <c r="D116" s="52"/>
      <c r="E116" s="52"/>
      <c r="F116" s="53"/>
      <c r="G116" s="12">
        <f>G117</f>
        <v>2669100</v>
      </c>
      <c r="H116" s="12">
        <f>H117</f>
        <v>188870</v>
      </c>
      <c r="I116" s="12">
        <f t="shared" ref="I116:S116" si="73">I117</f>
        <v>195870</v>
      </c>
      <c r="J116" s="12">
        <f t="shared" si="73"/>
        <v>193870</v>
      </c>
      <c r="K116" s="12">
        <f t="shared" si="73"/>
        <v>212080</v>
      </c>
      <c r="L116" s="12">
        <f t="shared" si="73"/>
        <v>204000</v>
      </c>
      <c r="M116" s="12">
        <f t="shared" si="73"/>
        <v>231250</v>
      </c>
      <c r="N116" s="12">
        <f t="shared" si="73"/>
        <v>204000</v>
      </c>
      <c r="O116" s="12">
        <f t="shared" si="73"/>
        <v>5000</v>
      </c>
      <c r="P116" s="12">
        <f t="shared" si="73"/>
        <v>5000</v>
      </c>
      <c r="Q116" s="12">
        <f t="shared" si="73"/>
        <v>266100</v>
      </c>
      <c r="R116" s="12">
        <f t="shared" si="73"/>
        <v>267100</v>
      </c>
      <c r="S116" s="12">
        <f t="shared" si="73"/>
        <v>0</v>
      </c>
    </row>
    <row r="117" spans="1:19" ht="101.25" customHeight="1" x14ac:dyDescent="0.25">
      <c r="A117" s="21" t="s">
        <v>169</v>
      </c>
      <c r="B117" s="51" t="s">
        <v>170</v>
      </c>
      <c r="C117" s="52"/>
      <c r="D117" s="52"/>
      <c r="E117" s="52"/>
      <c r="F117" s="53"/>
      <c r="G117" s="12">
        <v>2669100</v>
      </c>
      <c r="H117" s="13">
        <v>188870</v>
      </c>
      <c r="I117" s="13">
        <f>384740-H117</f>
        <v>195870</v>
      </c>
      <c r="J117" s="13">
        <v>193870</v>
      </c>
      <c r="K117" s="13">
        <v>212080</v>
      </c>
      <c r="L117" s="13">
        <v>204000</v>
      </c>
      <c r="M117" s="13">
        <v>231250</v>
      </c>
      <c r="N117" s="13">
        <v>204000</v>
      </c>
      <c r="O117" s="13">
        <v>5000</v>
      </c>
      <c r="P117" s="13">
        <v>5000</v>
      </c>
      <c r="Q117" s="13">
        <v>266100</v>
      </c>
      <c r="R117" s="13">
        <v>267100</v>
      </c>
      <c r="S117" s="13">
        <v>0</v>
      </c>
    </row>
    <row r="118" spans="1:19" ht="55.5" customHeight="1" x14ac:dyDescent="0.25">
      <c r="A118" s="21" t="s">
        <v>171</v>
      </c>
      <c r="B118" s="51" t="s">
        <v>172</v>
      </c>
      <c r="C118" s="52"/>
      <c r="D118" s="52"/>
      <c r="E118" s="52"/>
      <c r="F118" s="53"/>
      <c r="G118" s="12">
        <f>G119</f>
        <v>404200</v>
      </c>
      <c r="H118" s="12">
        <f t="shared" ref="H118:S118" si="74">H119</f>
        <v>23449.68</v>
      </c>
      <c r="I118" s="12">
        <f t="shared" si="74"/>
        <v>43449.719999999994</v>
      </c>
      <c r="J118" s="12">
        <f t="shared" si="74"/>
        <v>33449.68</v>
      </c>
      <c r="K118" s="12">
        <f t="shared" si="74"/>
        <v>62195.89</v>
      </c>
      <c r="L118" s="12">
        <f t="shared" si="74"/>
        <v>0</v>
      </c>
      <c r="M118" s="12">
        <f t="shared" si="74"/>
        <v>33449.68</v>
      </c>
      <c r="N118" s="12">
        <f t="shared" si="74"/>
        <v>33449.68</v>
      </c>
      <c r="O118" s="12">
        <f t="shared" si="74"/>
        <v>33449.68</v>
      </c>
      <c r="P118" s="12">
        <f t="shared" si="74"/>
        <v>42392.18</v>
      </c>
      <c r="Q118" s="12">
        <f t="shared" si="74"/>
        <v>28740.6</v>
      </c>
      <c r="R118" s="12">
        <f t="shared" si="74"/>
        <v>34791.26</v>
      </c>
      <c r="S118" s="12">
        <f t="shared" si="74"/>
        <v>35381.949999999997</v>
      </c>
    </row>
    <row r="119" spans="1:19" ht="67.5" customHeight="1" x14ac:dyDescent="0.25">
      <c r="A119" s="21" t="s">
        <v>173</v>
      </c>
      <c r="B119" s="51" t="s">
        <v>174</v>
      </c>
      <c r="C119" s="52"/>
      <c r="D119" s="52"/>
      <c r="E119" s="52"/>
      <c r="F119" s="53"/>
      <c r="G119" s="12">
        <v>404200</v>
      </c>
      <c r="H119" s="13">
        <v>23449.68</v>
      </c>
      <c r="I119" s="13">
        <f>66899.4-H119</f>
        <v>43449.719999999994</v>
      </c>
      <c r="J119" s="13">
        <v>33449.68</v>
      </c>
      <c r="K119" s="13">
        <v>62195.89</v>
      </c>
      <c r="L119" s="13">
        <v>0</v>
      </c>
      <c r="M119" s="13">
        <v>33449.68</v>
      </c>
      <c r="N119" s="13">
        <v>33449.68</v>
      </c>
      <c r="O119" s="13">
        <v>33449.68</v>
      </c>
      <c r="P119" s="13">
        <v>42392.18</v>
      </c>
      <c r="Q119" s="13">
        <v>28740.6</v>
      </c>
      <c r="R119" s="13">
        <v>34791.26</v>
      </c>
      <c r="S119" s="13">
        <v>35381.949999999997</v>
      </c>
    </row>
    <row r="120" spans="1:19" ht="90" customHeight="1" x14ac:dyDescent="0.25">
      <c r="A120" s="21" t="s">
        <v>175</v>
      </c>
      <c r="B120" s="51" t="s">
        <v>176</v>
      </c>
      <c r="C120" s="52"/>
      <c r="D120" s="52"/>
      <c r="E120" s="52"/>
      <c r="F120" s="53"/>
      <c r="G120" s="12">
        <f>G121</f>
        <v>1464.32</v>
      </c>
      <c r="H120" s="12">
        <f t="shared" ref="H120:S120" si="75">H121</f>
        <v>0</v>
      </c>
      <c r="I120" s="12">
        <f t="shared" si="75"/>
        <v>0</v>
      </c>
      <c r="J120" s="12">
        <f t="shared" si="75"/>
        <v>0</v>
      </c>
      <c r="K120" s="12">
        <f t="shared" si="75"/>
        <v>0</v>
      </c>
      <c r="L120" s="12">
        <f t="shared" si="75"/>
        <v>0</v>
      </c>
      <c r="M120" s="12">
        <f t="shared" si="75"/>
        <v>0</v>
      </c>
      <c r="N120" s="12">
        <f t="shared" si="75"/>
        <v>0</v>
      </c>
      <c r="O120" s="12">
        <f t="shared" si="75"/>
        <v>0</v>
      </c>
      <c r="P120" s="12">
        <f t="shared" si="75"/>
        <v>0</v>
      </c>
      <c r="Q120" s="12">
        <f t="shared" si="75"/>
        <v>0</v>
      </c>
      <c r="R120" s="12">
        <f t="shared" si="75"/>
        <v>0</v>
      </c>
      <c r="S120" s="12">
        <f t="shared" si="75"/>
        <v>1464.32</v>
      </c>
    </row>
    <row r="121" spans="1:19" ht="101.25" customHeight="1" x14ac:dyDescent="0.25">
      <c r="A121" s="21" t="s">
        <v>177</v>
      </c>
      <c r="B121" s="51" t="s">
        <v>178</v>
      </c>
      <c r="C121" s="52"/>
      <c r="D121" s="52"/>
      <c r="E121" s="52"/>
      <c r="F121" s="53"/>
      <c r="G121" s="12">
        <v>1464.32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f>G121</f>
        <v>1464.32</v>
      </c>
    </row>
    <row r="122" spans="1:19" ht="34.5" customHeight="1" x14ac:dyDescent="0.25">
      <c r="A122" s="21" t="s">
        <v>179</v>
      </c>
      <c r="B122" s="51" t="s">
        <v>180</v>
      </c>
      <c r="C122" s="67"/>
      <c r="D122" s="67"/>
      <c r="E122" s="67"/>
      <c r="F122" s="68"/>
      <c r="G122" s="12">
        <f>G123</f>
        <v>756367</v>
      </c>
      <c r="H122" s="12">
        <f t="shared" ref="H122:S122" si="76">H123</f>
        <v>45765.21</v>
      </c>
      <c r="I122" s="12">
        <f t="shared" si="76"/>
        <v>69765.209999999992</v>
      </c>
      <c r="J122" s="12">
        <f t="shared" si="76"/>
        <v>72466.429999999993</v>
      </c>
      <c r="K122" s="12">
        <f t="shared" si="76"/>
        <v>47655.21</v>
      </c>
      <c r="L122" s="12">
        <f t="shared" si="76"/>
        <v>136573.54</v>
      </c>
      <c r="M122" s="12">
        <f t="shared" si="76"/>
        <v>8719.52</v>
      </c>
      <c r="N122" s="12">
        <f t="shared" si="76"/>
        <v>12778.93</v>
      </c>
      <c r="O122" s="12">
        <f t="shared" si="76"/>
        <v>47683.519999999997</v>
      </c>
      <c r="P122" s="12">
        <f t="shared" si="76"/>
        <v>64591.33</v>
      </c>
      <c r="Q122" s="12">
        <f t="shared" si="76"/>
        <v>43715.06</v>
      </c>
      <c r="R122" s="12">
        <f t="shared" si="76"/>
        <v>98589.15</v>
      </c>
      <c r="S122" s="12">
        <f t="shared" si="76"/>
        <v>108063.89</v>
      </c>
    </row>
    <row r="123" spans="1:19" ht="45.75" customHeight="1" x14ac:dyDescent="0.25">
      <c r="A123" s="21" t="s">
        <v>181</v>
      </c>
      <c r="B123" s="51" t="s">
        <v>182</v>
      </c>
      <c r="C123" s="52"/>
      <c r="D123" s="52"/>
      <c r="E123" s="52"/>
      <c r="F123" s="53"/>
      <c r="G123" s="12">
        <v>756367</v>
      </c>
      <c r="H123" s="13">
        <v>45765.21</v>
      </c>
      <c r="I123" s="13">
        <f>115530.42-H123</f>
        <v>69765.209999999992</v>
      </c>
      <c r="J123" s="13">
        <v>72466.429999999993</v>
      </c>
      <c r="K123" s="13">
        <v>47655.21</v>
      </c>
      <c r="L123" s="13">
        <v>136573.54</v>
      </c>
      <c r="M123" s="13">
        <v>8719.52</v>
      </c>
      <c r="N123" s="13">
        <v>12778.93</v>
      </c>
      <c r="O123" s="13">
        <v>47683.519999999997</v>
      </c>
      <c r="P123" s="13">
        <v>64591.33</v>
      </c>
      <c r="Q123" s="13">
        <v>43715.06</v>
      </c>
      <c r="R123" s="13">
        <v>98589.15</v>
      </c>
      <c r="S123" s="13">
        <v>108063.89</v>
      </c>
    </row>
    <row r="124" spans="1:19" ht="22.5" x14ac:dyDescent="0.25">
      <c r="A124" s="2" t="s">
        <v>183</v>
      </c>
      <c r="B124" s="51" t="s">
        <v>184</v>
      </c>
      <c r="C124" s="52"/>
      <c r="D124" s="52"/>
      <c r="E124" s="52"/>
      <c r="F124" s="53"/>
      <c r="G124" s="12">
        <f>G125</f>
        <v>125837800</v>
      </c>
      <c r="H124" s="12">
        <f t="shared" ref="H124:S124" si="77">H125</f>
        <v>8700000</v>
      </c>
      <c r="I124" s="12">
        <f t="shared" si="77"/>
        <v>10038025</v>
      </c>
      <c r="J124" s="12">
        <f t="shared" si="77"/>
        <v>11500000</v>
      </c>
      <c r="K124" s="12">
        <f t="shared" si="77"/>
        <v>11238025</v>
      </c>
      <c r="L124" s="12">
        <f t="shared" si="77"/>
        <v>21000000</v>
      </c>
      <c r="M124" s="12">
        <f t="shared" si="77"/>
        <v>16000000</v>
      </c>
      <c r="N124" s="12">
        <f t="shared" si="77"/>
        <v>9500000</v>
      </c>
      <c r="O124" s="12">
        <f t="shared" si="77"/>
        <v>1000000</v>
      </c>
      <c r="P124" s="12">
        <f t="shared" si="77"/>
        <v>2600000</v>
      </c>
      <c r="Q124" s="12">
        <f t="shared" si="77"/>
        <v>6000000</v>
      </c>
      <c r="R124" s="12">
        <f t="shared" si="77"/>
        <v>6000000</v>
      </c>
      <c r="S124" s="12">
        <f t="shared" si="77"/>
        <v>22261750</v>
      </c>
    </row>
    <row r="125" spans="1:19" ht="21.75" customHeight="1" x14ac:dyDescent="0.25">
      <c r="A125" s="2" t="s">
        <v>185</v>
      </c>
      <c r="B125" s="51" t="s">
        <v>186</v>
      </c>
      <c r="C125" s="52"/>
      <c r="D125" s="52"/>
      <c r="E125" s="52"/>
      <c r="F125" s="53"/>
      <c r="G125" s="12">
        <v>125837800</v>
      </c>
      <c r="H125" s="12">
        <v>8700000</v>
      </c>
      <c r="I125" s="12">
        <f>18738025-H125</f>
        <v>10038025</v>
      </c>
      <c r="J125" s="12">
        <v>11500000</v>
      </c>
      <c r="K125" s="12">
        <v>11238025</v>
      </c>
      <c r="L125" s="12">
        <v>21000000</v>
      </c>
      <c r="M125" s="12">
        <v>16000000</v>
      </c>
      <c r="N125" s="12">
        <v>9500000</v>
      </c>
      <c r="O125" s="12">
        <v>1000000</v>
      </c>
      <c r="P125" s="12">
        <v>2600000</v>
      </c>
      <c r="Q125" s="12">
        <v>6000000</v>
      </c>
      <c r="R125" s="12">
        <v>6000000</v>
      </c>
      <c r="S125" s="12">
        <v>22261750</v>
      </c>
    </row>
    <row r="126" spans="1:19" ht="21.75" customHeight="1" x14ac:dyDescent="0.25">
      <c r="A126" s="37" t="s">
        <v>385</v>
      </c>
      <c r="B126" s="46" t="s">
        <v>377</v>
      </c>
      <c r="C126" s="47"/>
      <c r="D126" s="47"/>
      <c r="E126" s="47"/>
      <c r="F126" s="47"/>
      <c r="G126" s="12">
        <f>G127</f>
        <v>0</v>
      </c>
      <c r="H126" s="12">
        <f t="shared" ref="H126:S129" si="78">H127</f>
        <v>0</v>
      </c>
      <c r="I126" s="12">
        <f t="shared" si="78"/>
        <v>19588.740000000002</v>
      </c>
      <c r="J126" s="12">
        <f t="shared" si="78"/>
        <v>0</v>
      </c>
      <c r="K126" s="12">
        <f t="shared" si="78"/>
        <v>0</v>
      </c>
      <c r="L126" s="12">
        <f t="shared" si="78"/>
        <v>0</v>
      </c>
      <c r="M126" s="12">
        <f t="shared" si="78"/>
        <v>0</v>
      </c>
      <c r="N126" s="12">
        <f t="shared" si="78"/>
        <v>0</v>
      </c>
      <c r="O126" s="12">
        <f t="shared" si="78"/>
        <v>0</v>
      </c>
      <c r="P126" s="12">
        <f t="shared" si="78"/>
        <v>0</v>
      </c>
      <c r="Q126" s="12">
        <f t="shared" si="78"/>
        <v>0</v>
      </c>
      <c r="R126" s="12">
        <f t="shared" si="78"/>
        <v>0</v>
      </c>
      <c r="S126" s="12">
        <f t="shared" si="78"/>
        <v>0</v>
      </c>
    </row>
    <row r="127" spans="1:19" ht="21.75" customHeight="1" x14ac:dyDescent="0.25">
      <c r="A127" s="37" t="s">
        <v>386</v>
      </c>
      <c r="B127" s="46" t="s">
        <v>378</v>
      </c>
      <c r="C127" s="47"/>
      <c r="D127" s="47"/>
      <c r="E127" s="47"/>
      <c r="F127" s="47"/>
      <c r="G127" s="12">
        <f>G128</f>
        <v>0</v>
      </c>
      <c r="H127" s="12">
        <f t="shared" si="78"/>
        <v>0</v>
      </c>
      <c r="I127" s="12">
        <f t="shared" si="78"/>
        <v>19588.740000000002</v>
      </c>
      <c r="J127" s="12">
        <f t="shared" si="78"/>
        <v>0</v>
      </c>
      <c r="K127" s="12">
        <f t="shared" si="78"/>
        <v>0</v>
      </c>
      <c r="L127" s="12">
        <f t="shared" si="78"/>
        <v>0</v>
      </c>
      <c r="M127" s="12">
        <f t="shared" si="78"/>
        <v>0</v>
      </c>
      <c r="N127" s="12">
        <f t="shared" si="78"/>
        <v>0</v>
      </c>
      <c r="O127" s="12">
        <f t="shared" si="78"/>
        <v>0</v>
      </c>
      <c r="P127" s="12">
        <f t="shared" si="78"/>
        <v>0</v>
      </c>
      <c r="Q127" s="12">
        <f t="shared" si="78"/>
        <v>0</v>
      </c>
      <c r="R127" s="12">
        <f t="shared" si="78"/>
        <v>0</v>
      </c>
      <c r="S127" s="12">
        <f t="shared" si="78"/>
        <v>0</v>
      </c>
    </row>
    <row r="128" spans="1:19" ht="21.75" customHeight="1" x14ac:dyDescent="0.25">
      <c r="A128" s="37" t="s">
        <v>387</v>
      </c>
      <c r="B128" s="46" t="s">
        <v>379</v>
      </c>
      <c r="C128" s="47"/>
      <c r="D128" s="47"/>
      <c r="E128" s="47"/>
      <c r="F128" s="47"/>
      <c r="G128" s="12">
        <f>G129</f>
        <v>0</v>
      </c>
      <c r="H128" s="12">
        <f t="shared" si="78"/>
        <v>0</v>
      </c>
      <c r="I128" s="12">
        <f t="shared" si="78"/>
        <v>19588.740000000002</v>
      </c>
      <c r="J128" s="12">
        <f t="shared" si="78"/>
        <v>0</v>
      </c>
      <c r="K128" s="12">
        <f t="shared" si="78"/>
        <v>0</v>
      </c>
      <c r="L128" s="12">
        <f t="shared" si="78"/>
        <v>0</v>
      </c>
      <c r="M128" s="12">
        <f t="shared" si="78"/>
        <v>0</v>
      </c>
      <c r="N128" s="12">
        <f t="shared" si="78"/>
        <v>0</v>
      </c>
      <c r="O128" s="12">
        <f t="shared" si="78"/>
        <v>0</v>
      </c>
      <c r="P128" s="12">
        <f t="shared" si="78"/>
        <v>0</v>
      </c>
      <c r="Q128" s="12">
        <f t="shared" si="78"/>
        <v>0</v>
      </c>
      <c r="R128" s="12">
        <f t="shared" si="78"/>
        <v>0</v>
      </c>
      <c r="S128" s="12">
        <f t="shared" si="78"/>
        <v>0</v>
      </c>
    </row>
    <row r="129" spans="1:19" ht="21.75" customHeight="1" x14ac:dyDescent="0.25">
      <c r="A129" s="37" t="s">
        <v>388</v>
      </c>
      <c r="B129" s="46" t="s">
        <v>380</v>
      </c>
      <c r="C129" s="47"/>
      <c r="D129" s="47"/>
      <c r="E129" s="47"/>
      <c r="F129" s="47"/>
      <c r="G129" s="12">
        <f>G130</f>
        <v>0</v>
      </c>
      <c r="H129" s="12">
        <f t="shared" si="78"/>
        <v>0</v>
      </c>
      <c r="I129" s="12">
        <f t="shared" si="78"/>
        <v>19588.740000000002</v>
      </c>
      <c r="J129" s="12">
        <f t="shared" si="78"/>
        <v>0</v>
      </c>
      <c r="K129" s="12">
        <f t="shared" si="78"/>
        <v>0</v>
      </c>
      <c r="L129" s="12">
        <f t="shared" si="78"/>
        <v>0</v>
      </c>
      <c r="M129" s="12">
        <f t="shared" si="78"/>
        <v>0</v>
      </c>
      <c r="N129" s="12">
        <f t="shared" si="78"/>
        <v>0</v>
      </c>
      <c r="O129" s="12">
        <f t="shared" si="78"/>
        <v>0</v>
      </c>
      <c r="P129" s="12">
        <f t="shared" si="78"/>
        <v>0</v>
      </c>
      <c r="Q129" s="12">
        <f t="shared" si="78"/>
        <v>0</v>
      </c>
      <c r="R129" s="12">
        <f t="shared" si="78"/>
        <v>0</v>
      </c>
      <c r="S129" s="12">
        <f t="shared" si="78"/>
        <v>0</v>
      </c>
    </row>
    <row r="130" spans="1:19" ht="21.75" customHeight="1" x14ac:dyDescent="0.25">
      <c r="A130" s="37" t="s">
        <v>389</v>
      </c>
      <c r="B130" s="46" t="s">
        <v>381</v>
      </c>
      <c r="C130" s="47"/>
      <c r="D130" s="47"/>
      <c r="E130" s="47"/>
      <c r="F130" s="47"/>
      <c r="G130" s="12">
        <v>0</v>
      </c>
      <c r="H130" s="12">
        <v>0</v>
      </c>
      <c r="I130" s="12">
        <v>19588.740000000002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</row>
    <row r="131" spans="1:19" ht="21.75" customHeight="1" x14ac:dyDescent="0.25">
      <c r="A131" s="37" t="s">
        <v>390</v>
      </c>
      <c r="B131" s="46" t="s">
        <v>382</v>
      </c>
      <c r="C131" s="47"/>
      <c r="D131" s="47"/>
      <c r="E131" s="47"/>
      <c r="F131" s="47"/>
      <c r="G131" s="12">
        <f>G132</f>
        <v>0</v>
      </c>
      <c r="H131" s="12">
        <f t="shared" ref="H131:S132" si="79">H132</f>
        <v>-267253.77</v>
      </c>
      <c r="I131" s="12">
        <f t="shared" si="79"/>
        <v>0</v>
      </c>
      <c r="J131" s="12">
        <f t="shared" si="79"/>
        <v>-10000</v>
      </c>
      <c r="K131" s="12">
        <f t="shared" si="79"/>
        <v>0</v>
      </c>
      <c r="L131" s="12">
        <f t="shared" si="79"/>
        <v>0</v>
      </c>
      <c r="M131" s="12">
        <f t="shared" si="79"/>
        <v>0</v>
      </c>
      <c r="N131" s="12">
        <f t="shared" si="79"/>
        <v>0</v>
      </c>
      <c r="O131" s="12">
        <f t="shared" si="79"/>
        <v>0</v>
      </c>
      <c r="P131" s="12">
        <f t="shared" si="79"/>
        <v>0</v>
      </c>
      <c r="Q131" s="12">
        <f t="shared" si="79"/>
        <v>0</v>
      </c>
      <c r="R131" s="12">
        <f t="shared" si="79"/>
        <v>0</v>
      </c>
      <c r="S131" s="12">
        <f t="shared" si="79"/>
        <v>0</v>
      </c>
    </row>
    <row r="132" spans="1:19" ht="21.75" customHeight="1" x14ac:dyDescent="0.25">
      <c r="A132" s="37" t="s">
        <v>391</v>
      </c>
      <c r="B132" s="46" t="s">
        <v>383</v>
      </c>
      <c r="C132" s="47"/>
      <c r="D132" s="47"/>
      <c r="E132" s="47"/>
      <c r="F132" s="47"/>
      <c r="G132" s="12">
        <f>G133</f>
        <v>0</v>
      </c>
      <c r="H132" s="12">
        <f t="shared" si="79"/>
        <v>-267253.77</v>
      </c>
      <c r="I132" s="12">
        <f t="shared" si="79"/>
        <v>0</v>
      </c>
      <c r="J132" s="12">
        <f t="shared" si="79"/>
        <v>-10000</v>
      </c>
      <c r="K132" s="12">
        <f t="shared" si="79"/>
        <v>0</v>
      </c>
      <c r="L132" s="12">
        <f t="shared" si="79"/>
        <v>0</v>
      </c>
      <c r="M132" s="12">
        <f t="shared" si="79"/>
        <v>0</v>
      </c>
      <c r="N132" s="12">
        <f t="shared" si="79"/>
        <v>0</v>
      </c>
      <c r="O132" s="12">
        <f t="shared" si="79"/>
        <v>0</v>
      </c>
      <c r="P132" s="12">
        <f t="shared" si="79"/>
        <v>0</v>
      </c>
      <c r="Q132" s="12">
        <f t="shared" si="79"/>
        <v>0</v>
      </c>
      <c r="R132" s="12">
        <f t="shared" si="79"/>
        <v>0</v>
      </c>
      <c r="S132" s="12">
        <f t="shared" si="79"/>
        <v>0</v>
      </c>
    </row>
    <row r="133" spans="1:19" ht="21.75" customHeight="1" x14ac:dyDescent="0.25">
      <c r="A133" s="37" t="s">
        <v>392</v>
      </c>
      <c r="B133" s="46" t="s">
        <v>384</v>
      </c>
      <c r="C133" s="47"/>
      <c r="D133" s="47"/>
      <c r="E133" s="47"/>
      <c r="F133" s="47"/>
      <c r="G133" s="12">
        <v>0</v>
      </c>
      <c r="H133" s="12">
        <v>-267253.77</v>
      </c>
      <c r="I133" s="12">
        <v>0</v>
      </c>
      <c r="J133" s="12">
        <v>-10000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</row>
    <row r="134" spans="1:19" ht="32.25" customHeight="1" x14ac:dyDescent="0.25">
      <c r="A134" s="23" t="s">
        <v>66</v>
      </c>
      <c r="B134" s="66"/>
      <c r="C134" s="42"/>
      <c r="D134" s="42"/>
      <c r="E134" s="42"/>
      <c r="F134" s="43"/>
      <c r="G134" s="14">
        <f t="shared" ref="G134:S134" si="80">G92+G93</f>
        <v>502876818.11000001</v>
      </c>
      <c r="H134" s="14">
        <f t="shared" si="80"/>
        <v>30337564.690000001</v>
      </c>
      <c r="I134" s="14">
        <f t="shared" si="80"/>
        <v>36749167.189999998</v>
      </c>
      <c r="J134" s="14">
        <f t="shared" si="80"/>
        <v>38286085.439999998</v>
      </c>
      <c r="K134" s="14">
        <f>K92+K93</f>
        <v>44938138.959999993</v>
      </c>
      <c r="L134" s="14">
        <f t="shared" si="80"/>
        <v>48631954.919999994</v>
      </c>
      <c r="M134" s="14">
        <f t="shared" si="80"/>
        <v>45883879.969999999</v>
      </c>
      <c r="N134" s="14">
        <f t="shared" si="80"/>
        <v>36516591.149999999</v>
      </c>
      <c r="O134" s="14">
        <f t="shared" si="80"/>
        <v>25515466.700000003</v>
      </c>
      <c r="P134" s="14">
        <f t="shared" si="80"/>
        <v>32251681.349999998</v>
      </c>
      <c r="Q134" s="14">
        <f t="shared" si="80"/>
        <v>46887134.109999999</v>
      </c>
      <c r="R134" s="14">
        <f t="shared" si="80"/>
        <v>43994891.810000002</v>
      </c>
      <c r="S134" s="14">
        <f t="shared" si="80"/>
        <v>67185828.659999996</v>
      </c>
    </row>
    <row r="135" spans="1:19" ht="14.25" customHeight="1" x14ac:dyDescent="0.25">
      <c r="A135" s="26" t="s">
        <v>51</v>
      </c>
      <c r="B135" s="62"/>
      <c r="C135" s="52"/>
      <c r="D135" s="52"/>
      <c r="E135" s="52"/>
      <c r="F135" s="53"/>
      <c r="G135" s="15">
        <f>H135+I135+J135+K135+L135+M135+N135+O135+P135+Q135+R135+S135</f>
        <v>200509319.36999997</v>
      </c>
      <c r="H135" s="13">
        <f t="shared" ref="H135:S135" si="81">H102+H111</f>
        <v>9889020.7300000004</v>
      </c>
      <c r="I135" s="13">
        <f t="shared" si="81"/>
        <v>12623547.960000001</v>
      </c>
      <c r="J135" s="13">
        <f t="shared" si="81"/>
        <v>13622433.539999999</v>
      </c>
      <c r="K135" s="13">
        <f t="shared" si="81"/>
        <v>19261922.91</v>
      </c>
      <c r="L135" s="13">
        <f t="shared" si="81"/>
        <v>23899472.369999997</v>
      </c>
      <c r="M135" s="13">
        <f t="shared" si="81"/>
        <v>21600191.050000001</v>
      </c>
      <c r="N135" s="13">
        <f t="shared" si="81"/>
        <v>12036132.589999998</v>
      </c>
      <c r="O135" s="13">
        <f t="shared" si="81"/>
        <v>2518801.8199999998</v>
      </c>
      <c r="P135" s="13">
        <f t="shared" si="81"/>
        <v>8048649.6099999994</v>
      </c>
      <c r="Q135" s="13">
        <f t="shared" si="81"/>
        <v>22541320.25</v>
      </c>
      <c r="R135" s="13">
        <f t="shared" si="81"/>
        <v>19361372.469999999</v>
      </c>
      <c r="S135" s="13">
        <f t="shared" si="81"/>
        <v>35106454.069999993</v>
      </c>
    </row>
    <row r="136" spans="1:19" ht="12" customHeight="1" x14ac:dyDescent="0.25">
      <c r="A136" s="48" t="s">
        <v>67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50"/>
    </row>
    <row r="137" spans="1:19" ht="45.75" customHeight="1" x14ac:dyDescent="0.25">
      <c r="A137" s="6" t="s">
        <v>187</v>
      </c>
      <c r="B137" s="64" t="s">
        <v>191</v>
      </c>
      <c r="C137" s="52"/>
      <c r="D137" s="52"/>
      <c r="E137" s="52"/>
      <c r="F137" s="53"/>
      <c r="G137" s="7">
        <f>G138</f>
        <v>0</v>
      </c>
      <c r="H137" s="7">
        <f t="shared" ref="H137:S137" si="82">H138</f>
        <v>0</v>
      </c>
      <c r="I137" s="7">
        <f t="shared" si="82"/>
        <v>0</v>
      </c>
      <c r="J137" s="7">
        <f t="shared" si="82"/>
        <v>0</v>
      </c>
      <c r="K137" s="7">
        <f t="shared" si="82"/>
        <v>0</v>
      </c>
      <c r="L137" s="7">
        <f t="shared" si="82"/>
        <v>0</v>
      </c>
      <c r="M137" s="7">
        <f t="shared" si="82"/>
        <v>0</v>
      </c>
      <c r="N137" s="7">
        <f t="shared" si="82"/>
        <v>0</v>
      </c>
      <c r="O137" s="7">
        <f t="shared" si="82"/>
        <v>0</v>
      </c>
      <c r="P137" s="7">
        <f t="shared" si="82"/>
        <v>0</v>
      </c>
      <c r="Q137" s="7">
        <f t="shared" si="82"/>
        <v>0</v>
      </c>
      <c r="R137" s="7">
        <f t="shared" si="82"/>
        <v>0</v>
      </c>
      <c r="S137" s="7">
        <f t="shared" si="82"/>
        <v>0</v>
      </c>
    </row>
    <row r="138" spans="1:19" ht="25.5" customHeight="1" x14ac:dyDescent="0.25">
      <c r="A138" s="27" t="s">
        <v>188</v>
      </c>
      <c r="B138" s="64" t="s">
        <v>192</v>
      </c>
      <c r="C138" s="52"/>
      <c r="D138" s="52"/>
      <c r="E138" s="52"/>
      <c r="F138" s="53"/>
      <c r="G138" s="7">
        <f>G139</f>
        <v>0</v>
      </c>
      <c r="H138" s="7">
        <f t="shared" ref="H138:S138" si="83">H139</f>
        <v>0</v>
      </c>
      <c r="I138" s="7">
        <f t="shared" si="83"/>
        <v>0</v>
      </c>
      <c r="J138" s="7">
        <f t="shared" si="83"/>
        <v>0</v>
      </c>
      <c r="K138" s="7">
        <f t="shared" si="83"/>
        <v>0</v>
      </c>
      <c r="L138" s="7">
        <f t="shared" si="83"/>
        <v>0</v>
      </c>
      <c r="M138" s="7">
        <f t="shared" si="83"/>
        <v>0</v>
      </c>
      <c r="N138" s="7">
        <f t="shared" si="83"/>
        <v>0</v>
      </c>
      <c r="O138" s="7">
        <f t="shared" si="83"/>
        <v>0</v>
      </c>
      <c r="P138" s="7">
        <f t="shared" si="83"/>
        <v>0</v>
      </c>
      <c r="Q138" s="7">
        <f t="shared" si="83"/>
        <v>0</v>
      </c>
      <c r="R138" s="7">
        <f t="shared" si="83"/>
        <v>0</v>
      </c>
      <c r="S138" s="7">
        <f t="shared" si="83"/>
        <v>0</v>
      </c>
    </row>
    <row r="139" spans="1:19" ht="32.25" customHeight="1" x14ac:dyDescent="0.25">
      <c r="A139" s="6" t="s">
        <v>189</v>
      </c>
      <c r="B139" s="64" t="s">
        <v>193</v>
      </c>
      <c r="C139" s="52"/>
      <c r="D139" s="52"/>
      <c r="E139" s="52"/>
      <c r="F139" s="53"/>
      <c r="G139" s="7">
        <f>G140</f>
        <v>0</v>
      </c>
      <c r="H139" s="7">
        <f t="shared" ref="H139:S139" si="84">H140</f>
        <v>0</v>
      </c>
      <c r="I139" s="7">
        <f t="shared" si="84"/>
        <v>0</v>
      </c>
      <c r="J139" s="7">
        <f t="shared" si="84"/>
        <v>0</v>
      </c>
      <c r="K139" s="7">
        <f t="shared" si="84"/>
        <v>0</v>
      </c>
      <c r="L139" s="7">
        <f t="shared" si="84"/>
        <v>0</v>
      </c>
      <c r="M139" s="7">
        <f t="shared" si="84"/>
        <v>0</v>
      </c>
      <c r="N139" s="7">
        <f t="shared" si="84"/>
        <v>0</v>
      </c>
      <c r="O139" s="7">
        <f t="shared" si="84"/>
        <v>0</v>
      </c>
      <c r="P139" s="7">
        <f t="shared" si="84"/>
        <v>0</v>
      </c>
      <c r="Q139" s="7">
        <f t="shared" si="84"/>
        <v>0</v>
      </c>
      <c r="R139" s="7">
        <f t="shared" si="84"/>
        <v>0</v>
      </c>
      <c r="S139" s="7">
        <f t="shared" si="84"/>
        <v>0</v>
      </c>
    </row>
    <row r="140" spans="1:19" ht="33.75" x14ac:dyDescent="0.25">
      <c r="A140" s="6" t="s">
        <v>190</v>
      </c>
      <c r="B140" s="64" t="s">
        <v>194</v>
      </c>
      <c r="C140" s="52"/>
      <c r="D140" s="52"/>
      <c r="E140" s="52"/>
      <c r="F140" s="53"/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</row>
    <row r="141" spans="1:19" ht="44.25" customHeight="1" x14ac:dyDescent="0.25">
      <c r="A141" s="26" t="s">
        <v>68</v>
      </c>
      <c r="B141" s="62"/>
      <c r="C141" s="52"/>
      <c r="D141" s="52"/>
      <c r="E141" s="52"/>
      <c r="F141" s="53"/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</row>
    <row r="142" spans="1:19" ht="21.75" customHeight="1" x14ac:dyDescent="0.25">
      <c r="A142" s="28" t="s">
        <v>52</v>
      </c>
      <c r="B142" s="63"/>
      <c r="C142" s="52"/>
      <c r="D142" s="52"/>
      <c r="E142" s="52"/>
      <c r="F142" s="53"/>
      <c r="G142" s="8">
        <f>G137+G134</f>
        <v>502876818.11000001</v>
      </c>
      <c r="H142" s="8">
        <f>H137+H134</f>
        <v>30337564.690000001</v>
      </c>
      <c r="I142" s="8">
        <f t="shared" ref="I142:S142" si="85">I137+I134</f>
        <v>36749167.189999998</v>
      </c>
      <c r="J142" s="8">
        <f t="shared" si="85"/>
        <v>38286085.439999998</v>
      </c>
      <c r="K142" s="8">
        <f t="shared" si="85"/>
        <v>44938138.959999993</v>
      </c>
      <c r="L142" s="8">
        <f t="shared" si="85"/>
        <v>48631954.919999994</v>
      </c>
      <c r="M142" s="8">
        <f t="shared" si="85"/>
        <v>45883879.969999999</v>
      </c>
      <c r="N142" s="8">
        <f t="shared" si="85"/>
        <v>36516591.149999999</v>
      </c>
      <c r="O142" s="8">
        <f t="shared" si="85"/>
        <v>25515466.700000003</v>
      </c>
      <c r="P142" s="8">
        <f t="shared" si="85"/>
        <v>32251681.349999998</v>
      </c>
      <c r="Q142" s="8">
        <f t="shared" si="85"/>
        <v>46887134.109999999</v>
      </c>
      <c r="R142" s="8">
        <f t="shared" si="85"/>
        <v>43994891.810000002</v>
      </c>
      <c r="S142" s="8">
        <f t="shared" si="85"/>
        <v>67185828.659999996</v>
      </c>
    </row>
    <row r="143" spans="1:19" x14ac:dyDescent="0.25">
      <c r="A143" s="55" t="s">
        <v>53</v>
      </c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50"/>
    </row>
    <row r="144" spans="1:19" x14ac:dyDescent="0.25">
      <c r="A144" s="56" t="s">
        <v>69</v>
      </c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8"/>
    </row>
    <row r="145" spans="1:19" ht="22.5" x14ac:dyDescent="0.25">
      <c r="A145" s="24" t="s">
        <v>195</v>
      </c>
      <c r="B145" s="17" t="s">
        <v>196</v>
      </c>
      <c r="C145" s="18"/>
      <c r="D145" s="18"/>
      <c r="E145" s="18"/>
      <c r="F145" s="18"/>
      <c r="G145" s="19">
        <v>495021778.97000003</v>
      </c>
      <c r="H145" s="19">
        <v>33027570.489999998</v>
      </c>
      <c r="I145" s="7">
        <f>74704810.16-H145</f>
        <v>41677239.670000002</v>
      </c>
      <c r="J145" s="7">
        <f>112536337.48-I145-H145</f>
        <v>37831527.320000008</v>
      </c>
      <c r="K145" s="7">
        <f>155994375.94-J145-I145-H145</f>
        <v>43458038.459999993</v>
      </c>
      <c r="L145" s="7">
        <f>202193742.74-K145-J145-I145-H145</f>
        <v>46199366.800000027</v>
      </c>
      <c r="M145" s="7">
        <f>247953467.01-L145-K145-J145-I145-H145</f>
        <v>45759724.269999996</v>
      </c>
      <c r="N145" s="7">
        <f>278211930.16-M145-L145-K145-J145-I145-H145</f>
        <v>30258463.150000047</v>
      </c>
      <c r="O145" s="7">
        <f>303747170.11-N145-M145-L145-K145-J145-I145-H145</f>
        <v>25535239.949999999</v>
      </c>
      <c r="P145" s="7">
        <f>332852339.28-O145-N145-M145-L145-K145-J145-I145-H145</f>
        <v>29105169.169999968</v>
      </c>
      <c r="Q145" s="7">
        <f>372773901.3-P145-O145-N145-M145-L145-K145-J145-I145-H145</f>
        <v>39921562.020000055</v>
      </c>
      <c r="R145" s="7">
        <f>407336253.2-Q145-P145-O145-N145-M145-L145-K145-J145-I145-H145</f>
        <v>34562351.899999991</v>
      </c>
      <c r="S145" s="7">
        <f>487794707.18-R145-Q145-P145-O145-N145-M145-L145-K145-J145-I145-H145</f>
        <v>80458453.980000049</v>
      </c>
    </row>
    <row r="146" spans="1:19" ht="22.5" x14ac:dyDescent="0.25">
      <c r="A146" s="24" t="s">
        <v>265</v>
      </c>
      <c r="B146" s="17" t="s">
        <v>196</v>
      </c>
      <c r="C146" s="17" t="s">
        <v>197</v>
      </c>
      <c r="D146" s="18"/>
      <c r="E146" s="18"/>
      <c r="F146" s="18"/>
      <c r="G146" s="19">
        <v>54127414.670000002</v>
      </c>
      <c r="H146" s="19">
        <v>3828854.91</v>
      </c>
      <c r="I146" s="7">
        <f>7297253.22-H146</f>
        <v>3468398.3099999996</v>
      </c>
      <c r="J146" s="7">
        <f>10786386.88-I146-H146</f>
        <v>3489133.6600000011</v>
      </c>
      <c r="K146" s="7">
        <f>14673649.8-J146-I146-H146</f>
        <v>3887262.9200000009</v>
      </c>
      <c r="L146" s="7">
        <f>19641205.54-K146-J146-I146-H146</f>
        <v>4967555.7399999984</v>
      </c>
      <c r="M146" s="7">
        <f>24231358.21-L146-K146-J146-I146-H146</f>
        <v>4590152.6700000018</v>
      </c>
      <c r="N146" s="7">
        <f t="shared" ref="N146" si="86">278211930.16-M146-L146-K146-J146-I146-H146</f>
        <v>253980571.95000002</v>
      </c>
      <c r="O146" s="7">
        <f>33047015.9-N146-M146-L146-K146-J146-I146-H146</f>
        <v>-245164914.26000002</v>
      </c>
      <c r="P146" s="7">
        <f>36604547.47-O146-N146-M146-L146-K146-J146-I146-H146</f>
        <v>3557531.5699999994</v>
      </c>
      <c r="Q146" s="7">
        <f>39790428.01-P146-O146-N146-M146-L146-K146-J146-I146-H146</f>
        <v>3185880.540000028</v>
      </c>
      <c r="R146" s="7">
        <f>44135814.44-Q146-P146-O146-N146-M146-L146-K146-J146-I146-H146</f>
        <v>4345386.4299999541</v>
      </c>
      <c r="S146" s="7">
        <f>52737527.27-R146-Q146-P146-O146-N146-M146-L146-K146-J146-I146-H146</f>
        <v>8601712.8299999908</v>
      </c>
    </row>
    <row r="147" spans="1:19" ht="47.25" customHeight="1" x14ac:dyDescent="0.25">
      <c r="A147" s="24" t="s">
        <v>299</v>
      </c>
      <c r="B147" s="17" t="s">
        <v>196</v>
      </c>
      <c r="C147" s="17" t="s">
        <v>198</v>
      </c>
      <c r="D147" s="18"/>
      <c r="E147" s="18"/>
      <c r="F147" s="18"/>
      <c r="G147" s="19">
        <v>2313904.04</v>
      </c>
      <c r="H147" s="19">
        <v>160373.14000000001</v>
      </c>
      <c r="I147" s="7">
        <f>332428.1-H147</f>
        <v>172054.95999999996</v>
      </c>
      <c r="J147" s="7">
        <f>513538.6-I147-H147</f>
        <v>181110.5</v>
      </c>
      <c r="K147" s="7">
        <f>694649.11-J147-I147-H147</f>
        <v>181110.51</v>
      </c>
      <c r="L147" s="7">
        <f>875759.6-K147-J147-I147-H147</f>
        <v>181110.49</v>
      </c>
      <c r="M147" s="7">
        <f>1405267.25-L147-K147-J147-I147-H147</f>
        <v>529507.65</v>
      </c>
      <c r="N147" s="7">
        <f>29563740.78-M147-L147-K147-J147-I147-H147</f>
        <v>28158473.530000001</v>
      </c>
      <c r="O147" s="7">
        <f>1522516.64-N147-M147-L147-K147-J147-I147-H147</f>
        <v>-28041224.140000001</v>
      </c>
      <c r="P147" s="7">
        <f>1682900.98-O147-N147-M147-L147-K147-J147-I147-H147</f>
        <v>160384.33999999985</v>
      </c>
      <c r="Q147" s="7">
        <f>1849706.02-P147-O147-N147-M147-L147-K147-J147-I147-H147</f>
        <v>166805.03999999911</v>
      </c>
      <c r="R147" s="7">
        <f>2006282.59-Q147-P147-O147-N147-M147-L147-K147-J147-I147-H147</f>
        <v>156576.5700000003</v>
      </c>
      <c r="S147" s="7">
        <f>2313904.04-R147-Q147-P147-O147-N147-M147-L147-K147-J147-I147-H147</f>
        <v>307621.44999999937</v>
      </c>
    </row>
    <row r="148" spans="1:19" ht="90.75" customHeight="1" x14ac:dyDescent="0.25">
      <c r="A148" s="24" t="s">
        <v>298</v>
      </c>
      <c r="B148" s="17" t="s">
        <v>196</v>
      </c>
      <c r="C148" s="17" t="s">
        <v>199</v>
      </c>
      <c r="D148" s="18"/>
      <c r="E148" s="18"/>
      <c r="F148" s="18"/>
      <c r="G148" s="19">
        <v>27297928.140000001</v>
      </c>
      <c r="H148" s="19">
        <v>2079351.68</v>
      </c>
      <c r="I148" s="7">
        <f>3801328.96-H148</f>
        <v>1721977.28</v>
      </c>
      <c r="J148" s="7">
        <f>5848775.08-I148-H148</f>
        <v>2047446.1199999999</v>
      </c>
      <c r="K148" s="7">
        <f>7590315.77-J148-I148-H148</f>
        <v>1741540.6899999992</v>
      </c>
      <c r="L148" s="7">
        <f>11134724.12-K148-J148-I148-H148</f>
        <v>3544408.3499999996</v>
      </c>
      <c r="M148" s="7">
        <f>13599648.99-L148-K148-J148-I148-H148</f>
        <v>2464924.870000001</v>
      </c>
      <c r="N148" s="7">
        <f>16166826.36-M148-L148-K148-J148-I148-H148</f>
        <v>2567177.3699999992</v>
      </c>
      <c r="O148" s="7">
        <f>17404884.88-N148-M148-L148-K148-J148-I148-H148</f>
        <v>1238058.5199999993</v>
      </c>
      <c r="P148" s="7">
        <f>19076130.5-O148-N148-M148-L148-K148-J148-I148-H148</f>
        <v>1671245.6200000008</v>
      </c>
      <c r="Q148" s="7">
        <f>21100350.64-P148-O148-N148-M148-L148-K148-J148-I148-H148</f>
        <v>2024220.1400000004</v>
      </c>
      <c r="R148" s="7">
        <f>22894321.15-Q148-P148-O148-N148-M148-L148-K148-J148-I148-H148</f>
        <v>1793970.5099999977</v>
      </c>
      <c r="S148" s="7">
        <f>27273009.2-R148-Q148-P148-O148-N148-M148-L148-K148-J148-I148-H148</f>
        <v>4378688.0499999989</v>
      </c>
    </row>
    <row r="149" spans="1:19" x14ac:dyDescent="0.25">
      <c r="A149" s="24" t="s">
        <v>297</v>
      </c>
      <c r="B149" s="17" t="s">
        <v>196</v>
      </c>
      <c r="C149" s="17" t="s">
        <v>200</v>
      </c>
      <c r="D149" s="18"/>
      <c r="E149" s="18"/>
      <c r="F149" s="18"/>
      <c r="G149" s="19">
        <v>1464.32</v>
      </c>
      <c r="H149" s="19">
        <v>0</v>
      </c>
      <c r="I149" s="7">
        <f t="shared" ref="I149:I150" si="87">G149/100*6</f>
        <v>87.859200000000001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f>1464.32-R149-Q149-P149-O149-N149-M149-L149-K149-J149-I149-H149</f>
        <v>1376.4607999999998</v>
      </c>
    </row>
    <row r="150" spans="1:19" ht="11.25" customHeight="1" x14ac:dyDescent="0.25">
      <c r="A150" s="24" t="s">
        <v>296</v>
      </c>
      <c r="B150" s="17" t="s">
        <v>196</v>
      </c>
      <c r="C150" s="17" t="s">
        <v>201</v>
      </c>
      <c r="D150" s="18"/>
      <c r="E150" s="18"/>
      <c r="F150" s="18"/>
      <c r="G150" s="19">
        <v>1000000</v>
      </c>
      <c r="H150" s="19">
        <v>0</v>
      </c>
      <c r="I150" s="7">
        <f t="shared" si="87"/>
        <v>60000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</row>
    <row r="151" spans="1:19" ht="23.25" customHeight="1" x14ac:dyDescent="0.25">
      <c r="A151" s="24" t="s">
        <v>263</v>
      </c>
      <c r="B151" s="17" t="s">
        <v>196</v>
      </c>
      <c r="C151" s="17" t="s">
        <v>202</v>
      </c>
      <c r="D151" s="18"/>
      <c r="E151" s="18"/>
      <c r="F151" s="18"/>
      <c r="G151" s="19">
        <v>23514118.170000002</v>
      </c>
      <c r="H151" s="19">
        <v>1589130.09</v>
      </c>
      <c r="I151" s="7">
        <f>3163496.16-H151</f>
        <v>1574366.07</v>
      </c>
      <c r="J151" s="7">
        <f>4424073.2-I151-H151</f>
        <v>1260577.0399999998</v>
      </c>
      <c r="K151" s="7">
        <f>6388684.92-J151-I151-H151</f>
        <v>1964611.7199999995</v>
      </c>
      <c r="L151" s="7">
        <f>7630721.82-K151-J151-I151-H151</f>
        <v>1242036.9000000001</v>
      </c>
      <c r="M151" s="7">
        <f>9226441.97-L151-K151-J151-I151-H151</f>
        <v>1595720.1500000001</v>
      </c>
      <c r="N151" s="7">
        <f>11991647.17-M151-L151-K151-J151-I151-H151</f>
        <v>2765205.1999999993</v>
      </c>
      <c r="O151" s="7">
        <f>14119614.38-N151-M151-L151-K151-J151-I151-H151</f>
        <v>2127967.2100000009</v>
      </c>
      <c r="P151" s="7">
        <f>15845515.99-O151-N151-M151-L151-K151-J151-I151-H151</f>
        <v>1725901.6099999992</v>
      </c>
      <c r="Q151" s="7">
        <f>16840371.35-P151-O151-N151-M151-L151-K151-J151-I151-H151</f>
        <v>994855.36000000103</v>
      </c>
      <c r="R151" s="7">
        <f>19235210.7-Q151-P151-O151-N151-M151-L151-K151-J151-I151-H151</f>
        <v>2394839.3499999996</v>
      </c>
      <c r="S151" s="7">
        <f>23149149.71-R151-Q151-P151-O151-N151-M151-L151-K151-J151-I151-H151</f>
        <v>3913939.01</v>
      </c>
    </row>
    <row r="152" spans="1:19" ht="22.5" x14ac:dyDescent="0.25">
      <c r="A152" s="24" t="s">
        <v>203</v>
      </c>
      <c r="B152" s="17" t="s">
        <v>196</v>
      </c>
      <c r="C152" s="17" t="s">
        <v>204</v>
      </c>
      <c r="D152" s="18"/>
      <c r="E152" s="18"/>
      <c r="F152" s="18"/>
      <c r="G152" s="19">
        <v>404200</v>
      </c>
      <c r="H152" s="19">
        <v>23449.68</v>
      </c>
      <c r="I152" s="7">
        <f>66899.4-H152</f>
        <v>43449.719999999994</v>
      </c>
      <c r="J152" s="7">
        <f>100349.08-I152-H152</f>
        <v>33449.680000000008</v>
      </c>
      <c r="K152" s="7">
        <f>162544.97-J152-I152-H152</f>
        <v>62195.890000000007</v>
      </c>
      <c r="L152" s="7">
        <f>162544.97-K152-J152-I152-H152</f>
        <v>0</v>
      </c>
      <c r="M152" s="7">
        <f>195994.65-L152-K152-J152-I152-H152</f>
        <v>33449.679999999978</v>
      </c>
      <c r="N152" s="7">
        <f>229444.33-M152-L152-K152-J152-I152-H152</f>
        <v>33449.680000000008</v>
      </c>
      <c r="O152" s="7">
        <f>262894.01-N152-M152-L152-K152-J152-I152-H152</f>
        <v>33449.680000000008</v>
      </c>
      <c r="P152" s="7">
        <f>305286.19-O152-N152-M152-L152-K152-J152-I152-H152</f>
        <v>42392.180000000015</v>
      </c>
      <c r="Q152" s="7">
        <f>334026.79-P152-O152-N152-M152-L152-K152-J152-I152-H152</f>
        <v>28740.599999999991</v>
      </c>
      <c r="R152" s="7">
        <f>368818.05-Q152-P152-O152-N152-M152-L152-K152-J152-I152-H152</f>
        <v>34791.260000000024</v>
      </c>
      <c r="S152" s="7">
        <f>404200-R152-Q152-P152-O152-N152-M152-L152-K152-J152-I152-H152</f>
        <v>35381.950000000026</v>
      </c>
    </row>
    <row r="153" spans="1:19" ht="22.5" customHeight="1" x14ac:dyDescent="0.25">
      <c r="A153" s="24" t="s">
        <v>322</v>
      </c>
      <c r="B153" s="17" t="s">
        <v>196</v>
      </c>
      <c r="C153" s="17" t="s">
        <v>205</v>
      </c>
      <c r="D153" s="18"/>
      <c r="E153" s="18"/>
      <c r="F153" s="18"/>
      <c r="G153" s="19">
        <v>404200</v>
      </c>
      <c r="H153" s="19">
        <v>23449.68</v>
      </c>
      <c r="I153" s="7">
        <f>66899.4-H153</f>
        <v>43449.719999999994</v>
      </c>
      <c r="J153" s="7">
        <f>100349.08-I153-H153</f>
        <v>33449.680000000008</v>
      </c>
      <c r="K153" s="7">
        <f>162544.97-J153-I153-H153</f>
        <v>62195.890000000007</v>
      </c>
      <c r="L153" s="7">
        <f>162544.97-K153-J153-I153-H153</f>
        <v>0</v>
      </c>
      <c r="M153" s="7">
        <f>195994.65-L153-K153-J153-I153-H153</f>
        <v>33449.679999999978</v>
      </c>
      <c r="N153" s="7">
        <f>229444.33-M153-L153-K153-J153-I153-H153</f>
        <v>33449.680000000008</v>
      </c>
      <c r="O153" s="7">
        <f>262894.01-N153-M153-L153-K153-J153-I153-H153</f>
        <v>33449.680000000008</v>
      </c>
      <c r="P153" s="7">
        <f>305286.19-O153-N153-M153-L153-K153-J153-I153-H153</f>
        <v>42392.180000000015</v>
      </c>
      <c r="Q153" s="7">
        <f>334026.79-P153-O153-N153-M153-L153-K153-J153-I153-H153</f>
        <v>28740.599999999991</v>
      </c>
      <c r="R153" s="7">
        <f>368818.05-Q153-P153-O153-N153-M153-L153-K153-J153-I153-H153</f>
        <v>34791.260000000024</v>
      </c>
      <c r="S153" s="7">
        <f>404200-R153-Q153-P153-O153-N153-M153-L153-K153-J153-I153-H153</f>
        <v>35381.950000000026</v>
      </c>
    </row>
    <row r="154" spans="1:19" ht="45" customHeight="1" x14ac:dyDescent="0.25">
      <c r="A154" s="24" t="s">
        <v>295</v>
      </c>
      <c r="B154" s="17" t="s">
        <v>196</v>
      </c>
      <c r="C154" s="17" t="s">
        <v>206</v>
      </c>
      <c r="D154" s="18"/>
      <c r="E154" s="18"/>
      <c r="F154" s="18"/>
      <c r="G154" s="19">
        <v>18957710.719999999</v>
      </c>
      <c r="H154" s="19">
        <v>805083.35</v>
      </c>
      <c r="I154" s="7">
        <f>1768455.39-H154</f>
        <v>963372.03999999992</v>
      </c>
      <c r="J154" s="7">
        <f>3767882.24-I154-H154</f>
        <v>1999426.85</v>
      </c>
      <c r="K154" s="7">
        <f>5268103.79-J154-I154-H154</f>
        <v>1500221.5499999998</v>
      </c>
      <c r="L154" s="7">
        <f>7318267.92-K154-J154-I154-H154</f>
        <v>2050164.13</v>
      </c>
      <c r="M154" s="7">
        <f>8927093.22-L154-K154-J154-I154-H154</f>
        <v>1608825.3000000007</v>
      </c>
      <c r="N154" s="7">
        <f>10066875.06-M154-L154-K154-J154-I154-H154</f>
        <v>1139781.8399999999</v>
      </c>
      <c r="O154" s="7">
        <f>11141586.22-N154-M154-L154-K154-J154-I154-H154</f>
        <v>1074711.1600000001</v>
      </c>
      <c r="P154" s="7">
        <f>12839370.12-O154-N154-M154-L154-K154-J154-I154-H154</f>
        <v>1697783.8999999985</v>
      </c>
      <c r="Q154" s="7">
        <f>13919467.03-P154-O154-N154-M154-L154-K154-J154-I154-H154</f>
        <v>1080096.9100000001</v>
      </c>
      <c r="R154" s="7">
        <f>14901374.68-Q154-P154-O154-N154-M154-L154-K154-J154-I154-H154</f>
        <v>981907.65000000049</v>
      </c>
      <c r="S154" s="7">
        <f>18865257.42-R154-Q154-P154-O154-N154-M154-L154-K154-J154-I154-H154</f>
        <v>3963882.7400000007</v>
      </c>
    </row>
    <row r="155" spans="1:19" x14ac:dyDescent="0.25">
      <c r="A155" s="24" t="s">
        <v>294</v>
      </c>
      <c r="B155" s="17" t="s">
        <v>196</v>
      </c>
      <c r="C155" s="17" t="s">
        <v>207</v>
      </c>
      <c r="D155" s="18"/>
      <c r="E155" s="18"/>
      <c r="F155" s="18"/>
      <c r="G155" s="19">
        <v>756367</v>
      </c>
      <c r="H155" s="19">
        <v>45765.21</v>
      </c>
      <c r="I155" s="7">
        <f>115530.42-H155</f>
        <v>69765.209999999992</v>
      </c>
      <c r="J155" s="7">
        <f>187996.85-I155-H155</f>
        <v>72466.430000000022</v>
      </c>
      <c r="K155" s="7">
        <f>235652.06-J155-I155-H155</f>
        <v>47655.209999999985</v>
      </c>
      <c r="L155" s="7">
        <f>372225.6-K155-J155-I155-H155</f>
        <v>136573.54</v>
      </c>
      <c r="M155" s="7">
        <f>380945.12-L155-K155-J155-I155-H155</f>
        <v>8719.5199999999822</v>
      </c>
      <c r="N155" s="7">
        <f>393724.05-M155-L155-K155-J155-I155-H155</f>
        <v>12778.930000000015</v>
      </c>
      <c r="O155" s="7">
        <f>441407.57-N155-M155-L155-K155-J155-I155-H155</f>
        <v>47683.52000000007</v>
      </c>
      <c r="P155" s="7">
        <f>505998.9-O155-N155-M155-L155-K155-J155-I155-H155</f>
        <v>64591.330000000009</v>
      </c>
      <c r="Q155" s="7">
        <f>549713.96-P155-O155-N155-M155-L155-K155-J155-I155-H155</f>
        <v>43715.059999999874</v>
      </c>
      <c r="R155" s="7">
        <f>648303.11-Q155-P155-O155-N155-M155-L155-K155-J155-I155-H155</f>
        <v>98589.150000000227</v>
      </c>
      <c r="S155" s="7">
        <f>756367-R155-Q155-P155-O155-N155-M155-L155-K155-J155-I155-H155</f>
        <v>108063.88999999998</v>
      </c>
    </row>
    <row r="156" spans="1:19" ht="59.25" customHeight="1" x14ac:dyDescent="0.25">
      <c r="A156" s="24" t="s">
        <v>293</v>
      </c>
      <c r="B156" s="17" t="s">
        <v>196</v>
      </c>
      <c r="C156" s="17" t="s">
        <v>208</v>
      </c>
      <c r="D156" s="18"/>
      <c r="E156" s="18"/>
      <c r="F156" s="18"/>
      <c r="G156" s="19">
        <v>18042162.170000002</v>
      </c>
      <c r="H156" s="19">
        <v>759318.14</v>
      </c>
      <c r="I156" s="7">
        <f>1652924.97-H156</f>
        <v>893606.83</v>
      </c>
      <c r="J156" s="7">
        <f>3579885.39-I156-H156</f>
        <v>1926960.42</v>
      </c>
      <c r="K156" s="7">
        <f>5032451.73-J156-I156-H156</f>
        <v>1452566.3400000003</v>
      </c>
      <c r="L156" s="7">
        <f t="shared" ref="L156" si="88">202193742.74-K156-J156-I156-H156</f>
        <v>197161291.01000002</v>
      </c>
      <c r="M156" s="7">
        <f>8546148.1-L156-K156-J156-I156-H156</f>
        <v>-193647594.64000002</v>
      </c>
      <c r="N156" s="7">
        <f>9673151.01-M156-L156-K156-J156-I156-H156</f>
        <v>1127002.9099999857</v>
      </c>
      <c r="O156" s="7">
        <f>10640178.65-N156-M156-L156-K156-J156-I156-H156</f>
        <v>967027.6400000049</v>
      </c>
      <c r="P156" s="7">
        <f>12273371.22-O156-N156-M156-L156-K156-J156-I156-H156</f>
        <v>1633192.5700000119</v>
      </c>
      <c r="Q156" s="7">
        <f>13309753.07-P156-O156-N156-M156-L156-K156-J156-I156-H156</f>
        <v>1036381.8499999834</v>
      </c>
      <c r="R156" s="7">
        <f>14193071.57-Q156-P156-O156-N156-M156-L156-K156-J156-I156-H156</f>
        <v>883318.50000001921</v>
      </c>
      <c r="S156" s="7">
        <f>17949708.87-R156-Q156-P156-O156-N156-M156-L156-K156-J156-I156-H156</f>
        <v>3756637.3000000012</v>
      </c>
    </row>
    <row r="157" spans="1:19" ht="45.75" customHeight="1" x14ac:dyDescent="0.25">
      <c r="A157" s="24" t="s">
        <v>292</v>
      </c>
      <c r="B157" s="17" t="s">
        <v>196</v>
      </c>
      <c r="C157" s="17" t="s">
        <v>209</v>
      </c>
      <c r="D157" s="18"/>
      <c r="E157" s="18"/>
      <c r="F157" s="18"/>
      <c r="G157" s="19">
        <v>159181.54999999999</v>
      </c>
      <c r="H157" s="19">
        <v>0</v>
      </c>
      <c r="I157" s="7">
        <f>0</f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f>60000-N157-M157-L157-K157-J157-I157-H157</f>
        <v>60000</v>
      </c>
      <c r="P157" s="7">
        <f>60000-O157-N157-M157-L157-K157-J157-I157-H157</f>
        <v>0</v>
      </c>
      <c r="Q157" s="7">
        <f>60000-P157-O157-N157-M157-L157-K157-J157-I157-H157</f>
        <v>0</v>
      </c>
      <c r="R157" s="7">
        <f>60000-Q157-P157-O157-N157-M157-L157-K157-J157-I157-H157</f>
        <v>0</v>
      </c>
      <c r="S157" s="7">
        <f>159181.55-R157-Q157-P157-O157-N157-M157-L157-K157-J157-I157-H157</f>
        <v>99181.549999999988</v>
      </c>
    </row>
    <row r="158" spans="1:19" ht="22.5" x14ac:dyDescent="0.25">
      <c r="A158" s="24" t="s">
        <v>291</v>
      </c>
      <c r="B158" s="17" t="s">
        <v>196</v>
      </c>
      <c r="C158" s="17" t="s">
        <v>210</v>
      </c>
      <c r="D158" s="18"/>
      <c r="E158" s="18"/>
      <c r="F158" s="18"/>
      <c r="G158" s="19">
        <v>39895609.310000002</v>
      </c>
      <c r="H158" s="7">
        <v>802848.4</v>
      </c>
      <c r="I158" s="7">
        <f>2599184.34-H158</f>
        <v>1796335.94</v>
      </c>
      <c r="J158" s="7">
        <f>3555769.87-I158-H158</f>
        <v>956585.53000000014</v>
      </c>
      <c r="K158" s="7">
        <f>4444537.16-J158-I158-H158</f>
        <v>888767.28999999992</v>
      </c>
      <c r="L158" s="7">
        <f>4454537.16-K158-J158-I158-H158</f>
        <v>9999.9999999998836</v>
      </c>
      <c r="M158" s="7">
        <f>5269003.96-L158-K158-J158-I158-H158</f>
        <v>814466.7999999997</v>
      </c>
      <c r="N158" s="7">
        <f>6146783.86-M158-L158-K158-J158-I158-H158</f>
        <v>877779.90000000026</v>
      </c>
      <c r="O158" s="7">
        <f>7024563.76-N158-M158-L158-K158-J158-I158-H158</f>
        <v>877779.89999999932</v>
      </c>
      <c r="P158" s="7">
        <f>7902343.66-O158-N158-M158-L158-K158-J158-I158-H158</f>
        <v>877779.90000000026</v>
      </c>
      <c r="Q158" s="7">
        <f>21986702.17-P158-O158-N158-M158-L158-K158-J158-I158-H158</f>
        <v>14084358.510000007</v>
      </c>
      <c r="R158" s="7">
        <f>32909193.19-Q158-P158-O158-N158-M158-L158-K158-J158-I158-H158</f>
        <v>10922491.019999998</v>
      </c>
      <c r="S158" s="7">
        <f>39840499.59-R158-Q158-P158-O158-N158-M158-L158-K158-J158-I158-H158</f>
        <v>6931306.4000000041</v>
      </c>
    </row>
    <row r="159" spans="1:19" ht="22.5" x14ac:dyDescent="0.25">
      <c r="A159" s="24" t="s">
        <v>290</v>
      </c>
      <c r="B159" s="17" t="s">
        <v>196</v>
      </c>
      <c r="C159" s="17" t="s">
        <v>211</v>
      </c>
      <c r="D159" s="18"/>
      <c r="E159" s="18"/>
      <c r="F159" s="18"/>
      <c r="G159" s="19">
        <v>175069.5</v>
      </c>
      <c r="H159" s="7">
        <v>0</v>
      </c>
      <c r="I159" s="7">
        <f>0</f>
        <v>0</v>
      </c>
      <c r="J159" s="7">
        <f>58200</f>
        <v>58200</v>
      </c>
      <c r="K159" s="7">
        <f>58200-J159-I159-H159</f>
        <v>0</v>
      </c>
      <c r="L159" s="7">
        <f>58200-K159-J159-I159-H159</f>
        <v>0</v>
      </c>
      <c r="M159" s="7">
        <f>67300-L159-K159-J159-I159-H159</f>
        <v>9100</v>
      </c>
      <c r="N159" s="7">
        <f>67300-M159-L159-K159-J159-I159-H159</f>
        <v>0</v>
      </c>
      <c r="O159" s="7">
        <f>67300-N159-M159-L159-K159-J159-I159-H159</f>
        <v>0</v>
      </c>
      <c r="P159" s="7">
        <f>67300-O159-N159-M159-L159-K159-J159-I159-H159</f>
        <v>0</v>
      </c>
      <c r="Q159" s="7">
        <f>67300-P159-O159-N159-M159-L159-K159-J159-I159-H159</f>
        <v>0</v>
      </c>
      <c r="R159" s="7">
        <f>67300-Q159-P159-O159-N159-M159-L159-K159-J159-I159-H159</f>
        <v>0</v>
      </c>
      <c r="S159" s="7">
        <f>122960-R159-Q159-P159-O159-N159-M159-L159-K159-J159-I159-H159</f>
        <v>55660</v>
      </c>
    </row>
    <row r="160" spans="1:19" ht="22.5" x14ac:dyDescent="0.25">
      <c r="A160" s="24" t="s">
        <v>289</v>
      </c>
      <c r="B160" s="17" t="s">
        <v>196</v>
      </c>
      <c r="C160" s="17" t="s">
        <v>212</v>
      </c>
      <c r="D160" s="18"/>
      <c r="E160" s="18"/>
      <c r="F160" s="18"/>
      <c r="G160" s="19">
        <v>39697495.810000002</v>
      </c>
      <c r="H160" s="7">
        <v>802848.4</v>
      </c>
      <c r="I160" s="7">
        <f>2599184.34-H160</f>
        <v>1796335.94</v>
      </c>
      <c r="J160" s="7">
        <f>3497569.87-I160-H160</f>
        <v>898385.53000000014</v>
      </c>
      <c r="K160" s="7">
        <f>4386337.16-J160-I160-H160</f>
        <v>888767.28999999992</v>
      </c>
      <c r="L160" s="7">
        <f>4386337.16-K160-J160-I160-H160</f>
        <v>0</v>
      </c>
      <c r="M160" s="7">
        <f>5191703.96-L160-K160-J160-I160-H160</f>
        <v>805366.7999999997</v>
      </c>
      <c r="N160" s="7">
        <f>6069483.86-M160-L160-K160-J160-I160-H160</f>
        <v>877779.90000000026</v>
      </c>
      <c r="O160" s="7">
        <f>6947263.76-N160-M160-L160-K160-J160-I160-H160</f>
        <v>877779.89999999932</v>
      </c>
      <c r="P160" s="7">
        <f>7825043.66-O160-N160-M160-L160-K160-J160-I160-H160</f>
        <v>877779.90000000026</v>
      </c>
      <c r="Q160" s="7">
        <f>21909402.17-P160-O160-N160-M160-L160-K160-J160-I160-H160</f>
        <v>14084358.510000007</v>
      </c>
      <c r="R160" s="7">
        <f>32830506.96-Q160-P160-O160-N160-M160-L160-K160-J160-I160-H160</f>
        <v>10921104.790000001</v>
      </c>
      <c r="S160" s="7">
        <f>39694495.81-R160-Q160-P160-O160-N160-M160-L160-K160-J160-I160-H160</f>
        <v>6863988.8499999996</v>
      </c>
    </row>
    <row r="161" spans="1:19" x14ac:dyDescent="0.25">
      <c r="A161" s="24" t="s">
        <v>288</v>
      </c>
      <c r="B161" s="17" t="s">
        <v>196</v>
      </c>
      <c r="C161" s="17" t="s">
        <v>213</v>
      </c>
      <c r="D161" s="18"/>
      <c r="E161" s="18"/>
      <c r="F161" s="18"/>
      <c r="G161" s="19">
        <v>4621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f>1386.23-Q161-P161-O161-N161-M161-L161-K161-J161-I161-H161</f>
        <v>1386.23</v>
      </c>
      <c r="S161" s="7">
        <f>4620.78-R161-Q161-P161-O161-N161-M161-L161-K161-J161-I161-H161</f>
        <v>3234.5499999999997</v>
      </c>
    </row>
    <row r="162" spans="1:19" ht="22.5" customHeight="1" x14ac:dyDescent="0.25">
      <c r="A162" s="24" t="s">
        <v>287</v>
      </c>
      <c r="B162" s="17" t="s">
        <v>196</v>
      </c>
      <c r="C162" s="17" t="s">
        <v>214</v>
      </c>
      <c r="D162" s="18"/>
      <c r="E162" s="18"/>
      <c r="F162" s="18"/>
      <c r="G162" s="19">
        <v>18423</v>
      </c>
      <c r="H162" s="7">
        <v>0</v>
      </c>
      <c r="I162" s="7">
        <v>0</v>
      </c>
      <c r="J162" s="7">
        <v>0</v>
      </c>
      <c r="K162" s="7">
        <v>0</v>
      </c>
      <c r="L162" s="7">
        <f>10000-K162-J162-I162-H162</f>
        <v>10000</v>
      </c>
      <c r="M162" s="7">
        <f>10000-L162-K162-J162-I162-H162</f>
        <v>0</v>
      </c>
      <c r="N162" s="7">
        <f t="shared" ref="N162:R162" si="89">10000-M162-L162-K162-J162-I162</f>
        <v>0</v>
      </c>
      <c r="O162" s="7">
        <f t="shared" si="89"/>
        <v>0</v>
      </c>
      <c r="P162" s="7">
        <f t="shared" si="89"/>
        <v>0</v>
      </c>
      <c r="Q162" s="7">
        <f>10000-P162-O162-N162-M162-L162</f>
        <v>0</v>
      </c>
      <c r="R162" s="7">
        <f t="shared" si="89"/>
        <v>10000</v>
      </c>
      <c r="S162" s="7">
        <f>18423-R162-Q162-P162-O162-N162</f>
        <v>8423</v>
      </c>
    </row>
    <row r="163" spans="1:19" ht="33.75" x14ac:dyDescent="0.25">
      <c r="A163" s="24" t="s">
        <v>286</v>
      </c>
      <c r="B163" s="17" t="s">
        <v>196</v>
      </c>
      <c r="C163" s="17" t="s">
        <v>215</v>
      </c>
      <c r="D163" s="18"/>
      <c r="E163" s="18"/>
      <c r="F163" s="18"/>
      <c r="G163" s="19">
        <v>84545375.310000002</v>
      </c>
      <c r="H163" s="7">
        <v>8636003.9100000001</v>
      </c>
      <c r="I163" s="7">
        <f>15476485.57-H163</f>
        <v>6840481.6600000001</v>
      </c>
      <c r="J163" s="7">
        <f>21577406.32-I163-H163</f>
        <v>6100920.75</v>
      </c>
      <c r="K163" s="7">
        <f>28388849.72-J163-I163-H163</f>
        <v>6811443.3999999985</v>
      </c>
      <c r="L163" s="7">
        <f>35324735.31-K163-J163-I163-H163</f>
        <v>6935885.5900000036</v>
      </c>
      <c r="M163" s="7">
        <f>38600554.09-L163-K163-J163-I163-H163</f>
        <v>3275818.7800000012</v>
      </c>
      <c r="N163" s="7">
        <f>44377161.88-M163-L163-K163-J163-I163-H163</f>
        <v>5776607.7899999991</v>
      </c>
      <c r="O163" s="7">
        <f>52802046.46-N163-M163-L163-K163-J163-I163-H163</f>
        <v>8424884.5799999982</v>
      </c>
      <c r="P163" s="7">
        <f>60895115.42-O163-N163-M163-L163-K163-J163-I163-H163</f>
        <v>8093068.9600000009</v>
      </c>
      <c r="Q163" s="7">
        <f>65764431.4-P163-O163-N163-M163-L163-K163-J163-I163-H163</f>
        <v>4869315.9799999967</v>
      </c>
      <c r="R163" s="7">
        <f>67650475.2-Q163-P163-O163-N163-M163-L163-K163-J163-I163-H163</f>
        <v>1886043.8000000045</v>
      </c>
      <c r="S163" s="7">
        <f>84326693.64-R163-Q163-P163-O163-N163-M163-L163-K163-J163-I163-H163</f>
        <v>16676218.440000005</v>
      </c>
    </row>
    <row r="164" spans="1:19" x14ac:dyDescent="0.25">
      <c r="A164" s="24" t="s">
        <v>285</v>
      </c>
      <c r="B164" s="17" t="s">
        <v>196</v>
      </c>
      <c r="C164" s="17" t="s">
        <v>216</v>
      </c>
      <c r="D164" s="18"/>
      <c r="E164" s="18"/>
      <c r="F164" s="18"/>
      <c r="G164" s="19">
        <v>8870011.1999999993</v>
      </c>
      <c r="H164" s="7">
        <v>0</v>
      </c>
      <c r="I164" s="7">
        <v>0</v>
      </c>
      <c r="J164" s="7">
        <v>0</v>
      </c>
      <c r="K164" s="7">
        <f>2217272.4-J164-I164-H164</f>
        <v>2217272.4</v>
      </c>
      <c r="L164" s="7">
        <f>2956363.2-K164-J164-I164-H164</f>
        <v>739090.80000000028</v>
      </c>
      <c r="M164" s="7">
        <f>3695454-L164-K164-J164-I164-H164</f>
        <v>739090.79999999981</v>
      </c>
      <c r="N164" s="7">
        <f>3695454-M164-L164-K164-J164-I164-H164</f>
        <v>0</v>
      </c>
      <c r="O164" s="7">
        <f>4584287.3-N164-M164-L164-K164-J164-I164-H164</f>
        <v>888833.29999999981</v>
      </c>
      <c r="P164" s="7">
        <f>4584287.3-O164-N164-M164-L164-K164-J164-I164-H164</f>
        <v>0</v>
      </c>
      <c r="Q164" s="7">
        <f>6651817.2-P164-O164-N164-M164-L164-K164-J164-I164-H164</f>
        <v>2067529.9000000008</v>
      </c>
      <c r="R164" s="7">
        <f>6651817.2-Q164-P164-O164-N164-M164-L164-K164-J164-I164-H164</f>
        <v>-9.3132257461547852E-10</v>
      </c>
      <c r="S164" s="7">
        <f>8869089.6-R164-Q164-P164-O164-N164-M164-L164-K164-J164-I164-H164</f>
        <v>2217272.4000000008</v>
      </c>
    </row>
    <row r="165" spans="1:19" ht="14.25" customHeight="1" x14ac:dyDescent="0.25">
      <c r="A165" s="24" t="s">
        <v>284</v>
      </c>
      <c r="B165" s="17" t="s">
        <v>196</v>
      </c>
      <c r="C165" s="17" t="s">
        <v>217</v>
      </c>
      <c r="D165" s="18"/>
      <c r="E165" s="18"/>
      <c r="F165" s="18"/>
      <c r="G165" s="19">
        <v>8446614.1500000004</v>
      </c>
      <c r="H165" s="7">
        <v>272771.09000000003</v>
      </c>
      <c r="I165" s="7">
        <f>547920.33-H165</f>
        <v>275149.23999999993</v>
      </c>
      <c r="J165" s="7">
        <f>823076.77-I165-H165</f>
        <v>275156.44</v>
      </c>
      <c r="K165" s="7">
        <f>1104801.74-J165-I165-H165</f>
        <v>281724.97000000003</v>
      </c>
      <c r="L165" s="7">
        <f>1379953.03-K165-J165-I165-H165</f>
        <v>275151.2900000001</v>
      </c>
      <c r="M165" s="7">
        <f>1655093.01-L165-K165-J165-I165-H165</f>
        <v>275139.98000000004</v>
      </c>
      <c r="N165" s="7">
        <f>3052691.47-M165-L165-K165-J165-I165-H165</f>
        <v>1397598.46</v>
      </c>
      <c r="O165" s="7">
        <f>4906497.41-N165-M165-L165-K165-J165-I165-H165</f>
        <v>1853805.9400000002</v>
      </c>
      <c r="P165" s="7">
        <f>5639158.64-O165-N165-M165-L165-K165-J165-I165-H165</f>
        <v>732661.22999999928</v>
      </c>
      <c r="Q165" s="7">
        <f>6089301.89-P165-O165-N165-M165-L165-K165-J165-I165-H165</f>
        <v>450143.24999999983</v>
      </c>
      <c r="R165" s="7">
        <f>6449318.07-Q165-P165-O165-N165-M165-L165-K165-J165-I165-H165</f>
        <v>360016.18000000046</v>
      </c>
      <c r="S165" s="7">
        <f>8446214.15-R165-Q165-P165-O165-N165-M165-L165-K165-J165-I165-H165</f>
        <v>1996896.0799999998</v>
      </c>
    </row>
    <row r="166" spans="1:19" x14ac:dyDescent="0.25">
      <c r="A166" s="24" t="s">
        <v>283</v>
      </c>
      <c r="B166" s="17" t="s">
        <v>196</v>
      </c>
      <c r="C166" s="17" t="s">
        <v>218</v>
      </c>
      <c r="D166" s="18"/>
      <c r="E166" s="18"/>
      <c r="F166" s="18"/>
      <c r="G166" s="19">
        <v>9488413.1999999993</v>
      </c>
      <c r="H166" s="7">
        <v>638200</v>
      </c>
      <c r="I166" s="7">
        <f>1235224-H166</f>
        <v>597024</v>
      </c>
      <c r="J166" s="7">
        <f>2237340-I166-H166</f>
        <v>1002116</v>
      </c>
      <c r="K166" s="7">
        <f>2911516-J166-I166-H166</f>
        <v>674176</v>
      </c>
      <c r="L166" s="7">
        <f>3111516-K166-J166-I166-H166</f>
        <v>200000</v>
      </c>
      <c r="M166" s="7">
        <f>3248604-L166-K166-J166-I166-H166</f>
        <v>137088</v>
      </c>
      <c r="N166" s="7">
        <f>3458396.41-M166-L166-K166-J166-I166-H166</f>
        <v>209792.41000000015</v>
      </c>
      <c r="O166" s="7">
        <f>3761097.89-N166-M166-L166-K166-J166-I166-H166</f>
        <v>302701.48</v>
      </c>
      <c r="P166" s="7">
        <f>7024816.37-O166-N166-M166-L166-K166-J166-I166-H166</f>
        <v>3263718.4800000004</v>
      </c>
      <c r="Q166" s="7">
        <f>7566544.41-P166-O166-N166-M166-L166-K166-J166-I166-H166</f>
        <v>541728.03999999957</v>
      </c>
      <c r="R166" s="7">
        <f>7966413.17-Q166-P166-O166-N166-M166-L166-K166-J166-I166-H166</f>
        <v>399868.76000000024</v>
      </c>
      <c r="S166" s="7">
        <f>9399053.13-R166-Q166-P166-O166-N166-M166-L166-K166-J166-I166-H166</f>
        <v>1432639.9600000009</v>
      </c>
    </row>
    <row r="167" spans="1:19" ht="36" customHeight="1" x14ac:dyDescent="0.25">
      <c r="A167" s="24" t="s">
        <v>282</v>
      </c>
      <c r="B167" s="17" t="s">
        <v>196</v>
      </c>
      <c r="C167" s="17" t="s">
        <v>219</v>
      </c>
      <c r="D167" s="18"/>
      <c r="E167" s="18"/>
      <c r="F167" s="18"/>
      <c r="G167" s="19">
        <v>57740336.759999998</v>
      </c>
      <c r="H167" s="7">
        <v>7725032.8200000003</v>
      </c>
      <c r="I167" s="7">
        <f>13693341.24-H167</f>
        <v>5968308.4199999999</v>
      </c>
      <c r="J167" s="7">
        <f>18516989.55-I167-H167</f>
        <v>4823648.3100000005</v>
      </c>
      <c r="K167" s="7">
        <f>22155259.58-J167-I167-H167</f>
        <v>3638270.0299999956</v>
      </c>
      <c r="L167" s="7">
        <f>27876903.08-K167-J167-I167-H167</f>
        <v>5721643.5000000019</v>
      </c>
      <c r="M167" s="7">
        <f>30001403.08-L167-K167-J167-I167-H167</f>
        <v>2124500.0000000037</v>
      </c>
      <c r="N167" s="7">
        <f>34170620-M167-L167-K167-J167-I167-H167</f>
        <v>4169216.9199999962</v>
      </c>
      <c r="O167" s="7">
        <f>39550163.86-N167-M167-L167-K167-J167-I167-H167</f>
        <v>5379543.8600000013</v>
      </c>
      <c r="P167" s="7">
        <f>43646853.11-O167-N167-M167-L167-K167-J167-I167-H167</f>
        <v>4096689.2500000019</v>
      </c>
      <c r="Q167" s="7">
        <f>45456767.9-P167-O167-N167-M167-L167-K167-J167-I167-H167</f>
        <v>1809914.7900000028</v>
      </c>
      <c r="R167" s="7">
        <f>46582926.76-Q167-P167-O167-N167-M167-L167-K167-J167-I167-H167</f>
        <v>1126158.8600000031</v>
      </c>
      <c r="S167" s="7">
        <f>57612336.76-R167-Q167-P167-O167-N167-M167-L167-K167-J167-I167-H167</f>
        <v>11029409.999999985</v>
      </c>
    </row>
    <row r="168" spans="1:19" ht="24" customHeight="1" x14ac:dyDescent="0.25">
      <c r="A168" s="24" t="s">
        <v>281</v>
      </c>
      <c r="B168" s="17" t="s">
        <v>196</v>
      </c>
      <c r="C168" s="17" t="s">
        <v>220</v>
      </c>
      <c r="D168" s="18"/>
      <c r="E168" s="18"/>
      <c r="F168" s="18"/>
      <c r="G168" s="19">
        <v>2905908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f>172295.4-R168-Q168-P168-O168-N168-M168-L168-K168-J168-I168-H168</f>
        <v>172295.4</v>
      </c>
    </row>
    <row r="169" spans="1:19" ht="25.5" customHeight="1" x14ac:dyDescent="0.25">
      <c r="A169" s="24" t="s">
        <v>280</v>
      </c>
      <c r="B169" s="17" t="s">
        <v>196</v>
      </c>
      <c r="C169" s="17" t="s">
        <v>221</v>
      </c>
      <c r="D169" s="18"/>
      <c r="E169" s="18"/>
      <c r="F169" s="18"/>
      <c r="G169" s="19">
        <v>2905908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f>172295.4-R169-Q169-P169-O169-N169-M169-L169-K169-J169-I169-H169</f>
        <v>172295.4</v>
      </c>
    </row>
    <row r="170" spans="1:19" x14ac:dyDescent="0.25">
      <c r="A170" s="24" t="s">
        <v>279</v>
      </c>
      <c r="B170" s="17" t="s">
        <v>196</v>
      </c>
      <c r="C170" s="17" t="s">
        <v>222</v>
      </c>
      <c r="D170" s="18"/>
      <c r="E170" s="18"/>
      <c r="F170" s="18"/>
      <c r="G170" s="19">
        <v>228772760.72</v>
      </c>
      <c r="H170" s="7">
        <v>13886181.220000001</v>
      </c>
      <c r="I170" s="7">
        <f>32831910.38-H170</f>
        <v>18945729.159999996</v>
      </c>
      <c r="J170" s="7">
        <f>51679747.99-I170-H170</f>
        <v>18847837.610000007</v>
      </c>
      <c r="K170" s="7">
        <f>74828571.86-J170-I170-H170</f>
        <v>23148823.869999997</v>
      </c>
      <c r="L170" s="7">
        <f>102416827.71-K170-J170-I170-H170</f>
        <v>27588255.850000001</v>
      </c>
      <c r="M170" s="7">
        <f>132299003.24-L170-K170-J170-I170-H170</f>
        <v>29882175.529999979</v>
      </c>
      <c r="N170" s="7">
        <f>147901534.96-M170-L170-K170-J170-I170-H170</f>
        <v>15602531.720000034</v>
      </c>
      <c r="O170" s="7">
        <f>155169511.66-N170-M170-L170-K170-J170-I170-H170</f>
        <v>7267976.7000000011</v>
      </c>
      <c r="P170" s="7">
        <f>166607804.09-O170-N170-M170-L170-K170-J170-I170-H170</f>
        <v>11438292.43000002</v>
      </c>
      <c r="Q170" s="7">
        <f>178660145.75-P170-O170-N170-M170-L170-K170-J170-I170-H170</f>
        <v>12052341.660000009</v>
      </c>
      <c r="R170" s="7">
        <f>190056630.92-Q170-P170-O170-N170-M170-L170-K170-J170-I170-H170</f>
        <v>11396485.17</v>
      </c>
      <c r="S170" s="7">
        <f>228644067.48-R170-Q170-P170-O170-N170-M170-L170-K170-J170-I170-H170</f>
        <v>38587436.560000002</v>
      </c>
    </row>
    <row r="171" spans="1:19" ht="13.5" customHeight="1" x14ac:dyDescent="0.25">
      <c r="A171" s="24" t="s">
        <v>278</v>
      </c>
      <c r="B171" s="17" t="s">
        <v>196</v>
      </c>
      <c r="C171" s="17" t="s">
        <v>223</v>
      </c>
      <c r="D171" s="18"/>
      <c r="E171" s="18"/>
      <c r="F171" s="18"/>
      <c r="G171" s="19">
        <v>91869810.340000004</v>
      </c>
      <c r="H171" s="7">
        <v>4690000</v>
      </c>
      <c r="I171" s="7">
        <f>12436812-H171</f>
        <v>7746812</v>
      </c>
      <c r="J171" s="7">
        <f>20991612-I171-H171</f>
        <v>8554800</v>
      </c>
      <c r="K171" s="7">
        <f>31347734-J171-I171-H171</f>
        <v>10356122</v>
      </c>
      <c r="L171" s="7">
        <f>38907734-K171-J171-I171-H171</f>
        <v>7560000</v>
      </c>
      <c r="M171" s="7">
        <f>52808627-L171-K171-J171-I171-H171</f>
        <v>13900893</v>
      </c>
      <c r="N171" s="7">
        <f>62698196-M171-L171-K171-J171-I171-H171</f>
        <v>9889569</v>
      </c>
      <c r="O171" s="7">
        <f>64044565.47-N171-M171-L171-K171-J171-I171-H171</f>
        <v>1346369.4699999988</v>
      </c>
      <c r="P171" s="7">
        <f>66765969.03-O171-N171-M171-L171-K171-J171-I171-H171</f>
        <v>2721403.5600000024</v>
      </c>
      <c r="Q171" s="7">
        <f>68645763.98-P171-O171-N171-M171-L171-K171-J171-I171-H171</f>
        <v>1879794.950000003</v>
      </c>
      <c r="R171" s="7">
        <f>70467570.05-Q171-P171-O171-N171-M171-L171-K171-J171-I171-H171</f>
        <v>1821806.0699999928</v>
      </c>
      <c r="S171" s="7">
        <f>91869810.34-R171-Q171-P171-O171-N171-M171-L171-K171-J171-I171-H171</f>
        <v>21402240.290000007</v>
      </c>
    </row>
    <row r="172" spans="1:19" x14ac:dyDescent="0.25">
      <c r="A172" s="24" t="s">
        <v>277</v>
      </c>
      <c r="B172" s="17" t="s">
        <v>196</v>
      </c>
      <c r="C172" s="17" t="s">
        <v>224</v>
      </c>
      <c r="D172" s="18"/>
      <c r="E172" s="18"/>
      <c r="F172" s="18"/>
      <c r="G172" s="19">
        <v>92067853.189999998</v>
      </c>
      <c r="H172" s="7">
        <v>7106675</v>
      </c>
      <c r="I172" s="7">
        <f>14397300-H172</f>
        <v>7290625</v>
      </c>
      <c r="J172" s="7">
        <f>22294300-I172-H172</f>
        <v>7897000</v>
      </c>
      <c r="K172" s="7">
        <f>30452252-J172-I172-H172</f>
        <v>8157952</v>
      </c>
      <c r="L172" s="7">
        <f>46036045-K172-J172-I172-H172</f>
        <v>15583793</v>
      </c>
      <c r="M172" s="7">
        <f>57349435-L172-K172-J172-I172-H172</f>
        <v>11313390</v>
      </c>
      <c r="N172" s="7">
        <f>61070635-M172-L172-K172-J172-I172-H172</f>
        <v>3721200</v>
      </c>
      <c r="O172" s="7">
        <f>62937411.56-N172-M172-L172-K172-J172-I172-H172</f>
        <v>1866776.5600000024</v>
      </c>
      <c r="P172" s="7">
        <f>67500116.56-O172-N172-M172-L172-K172-J172-I172-H172</f>
        <v>4562705</v>
      </c>
      <c r="Q172" s="7">
        <f>75055116.56-P172-O172-N172-M172-L172-K172-J172-I172-H172</f>
        <v>7555000</v>
      </c>
      <c r="R172" s="7">
        <f>82208660.9-Q172-P172-O172-N172-M172-L172-K172-J172-I172-H172</f>
        <v>7153544.3400000036</v>
      </c>
      <c r="S172" s="7">
        <f>92067825.69-R172-Q172-P172-O172-N172-M172-L172-K172-J172-I172-H172</f>
        <v>9859164.7899999917</v>
      </c>
    </row>
    <row r="173" spans="1:19" ht="22.5" x14ac:dyDescent="0.25">
      <c r="A173" s="24" t="s">
        <v>276</v>
      </c>
      <c r="B173" s="17" t="s">
        <v>196</v>
      </c>
      <c r="C173" s="17" t="s">
        <v>225</v>
      </c>
      <c r="D173" s="18"/>
      <c r="E173" s="18"/>
      <c r="F173" s="18"/>
      <c r="G173" s="19">
        <v>26494998</v>
      </c>
      <c r="H173" s="7">
        <v>1530000</v>
      </c>
      <c r="I173" s="7">
        <f>5001525-H173</f>
        <v>3471525</v>
      </c>
      <c r="J173" s="7">
        <f>5967675-I173-H173</f>
        <v>966150</v>
      </c>
      <c r="K173" s="7">
        <f>9408182.55-J173-I173-H173</f>
        <v>3440507.5500000007</v>
      </c>
      <c r="L173" s="7">
        <f>12806182.55-K173-J173-I173-H173</f>
        <v>3398000</v>
      </c>
      <c r="M173" s="7">
        <f>15077671.48-L173-K173-J173-I173-H173</f>
        <v>2271488.9299999997</v>
      </c>
      <c r="N173" s="7">
        <f>16222742.48-M173-L173-K173-J173-I173-H173</f>
        <v>1145071</v>
      </c>
      <c r="O173" s="7">
        <f>17466068.67-N173-M173-L173-K173-J173-I173-H173</f>
        <v>1243326.1900000013</v>
      </c>
      <c r="P173" s="7">
        <f>19514497.09-O173-N173-M173-L173-K173-J173-I173-H173</f>
        <v>2048428.4199999981</v>
      </c>
      <c r="Q173" s="7">
        <f>20736637.09-P173-O173-N173-M173-L173-K173-J173-I173-H173</f>
        <v>1222140</v>
      </c>
      <c r="R173" s="7">
        <f>23032327.89-Q173-P173-O173-N173-M173-L173-K173-J173-I173-H173</f>
        <v>2295690.8000000007</v>
      </c>
      <c r="S173" s="7">
        <f>26494998-R173-Q173-P173-O173-N173-M173-L173-K173-J173-I173-H173</f>
        <v>3462670.1099999994</v>
      </c>
    </row>
    <row r="174" spans="1:19" x14ac:dyDescent="0.25">
      <c r="A174" s="24" t="s">
        <v>275</v>
      </c>
      <c r="B174" s="17" t="s">
        <v>196</v>
      </c>
      <c r="C174" s="17" t="s">
        <v>226</v>
      </c>
      <c r="D174" s="18"/>
      <c r="E174" s="18"/>
      <c r="F174" s="18"/>
      <c r="G174" s="19">
        <v>1067010.19</v>
      </c>
      <c r="H174" s="7">
        <v>0</v>
      </c>
      <c r="I174" s="7">
        <f>37500-H174</f>
        <v>37500</v>
      </c>
      <c r="J174" s="7">
        <f>200145-I174-H174</f>
        <v>162645</v>
      </c>
      <c r="K174" s="7">
        <f>204565-J174-I174-H174</f>
        <v>4420</v>
      </c>
      <c r="L174" s="7">
        <f>562909.62-K174-J174-I174-H174</f>
        <v>358344.62</v>
      </c>
      <c r="M174" s="7">
        <f>777360.82-L174-K174-J174-I174-H174</f>
        <v>214451.19999999995</v>
      </c>
      <c r="N174" s="7">
        <f>954712.43-M174-L174-K174-J174-I174-H174</f>
        <v>177351.6100000001</v>
      </c>
      <c r="O174" s="7">
        <f>987573.52-N174-M174-L174-K174-J174-I174-H174</f>
        <v>32861.089999999967</v>
      </c>
      <c r="P174" s="7">
        <f>1006871.9-O174-N174-M174-L174-K174-J174-I174-H174</f>
        <v>19298.380000000005</v>
      </c>
      <c r="Q174" s="7">
        <f>1055831.9-P174-O174-N174-M174-L174-K174-J174-I174-H174</f>
        <v>48959.999999999884</v>
      </c>
      <c r="R174" s="7">
        <f>1067001.19-Q174-P174-O174-N174-M174-L174-K174-J174-I174-H174</f>
        <v>11169.290000000037</v>
      </c>
      <c r="S174" s="7">
        <f>1067001.19-R174-Q174-P174-O174-N174-M174-L174-K174-J174-I174-H174</f>
        <v>0</v>
      </c>
    </row>
    <row r="175" spans="1:19" ht="22.5" x14ac:dyDescent="0.25">
      <c r="A175" s="24" t="s">
        <v>274</v>
      </c>
      <c r="B175" s="17" t="s">
        <v>196</v>
      </c>
      <c r="C175" s="17" t="s">
        <v>227</v>
      </c>
      <c r="D175" s="18"/>
      <c r="E175" s="18"/>
      <c r="F175" s="18"/>
      <c r="G175" s="19">
        <v>17273089</v>
      </c>
      <c r="H175" s="7">
        <v>559506.22</v>
      </c>
      <c r="I175" s="7">
        <f>958773.38-H175</f>
        <v>399267.16000000003</v>
      </c>
      <c r="J175" s="7">
        <f>2226015.99-I175-H175</f>
        <v>1267242.6100000001</v>
      </c>
      <c r="K175" s="7">
        <f>3415565.31-J175-I175-H175</f>
        <v>1189549.32</v>
      </c>
      <c r="L175" s="7">
        <f>4103956.54-K175-J175-I175-H175</f>
        <v>688391.22999999975</v>
      </c>
      <c r="M175" s="7">
        <f>6285908.94-L175-K175-J175-I175-H175</f>
        <v>2181952.4000000004</v>
      </c>
      <c r="N175" s="7">
        <f>6955249.05-M175-L175-K175-J175-I175-H175</f>
        <v>669340.10999999964</v>
      </c>
      <c r="O175" s="7">
        <f>9733892.44-N175-M175-L175-K175-J175-I175-H175</f>
        <v>2778643.3899999997</v>
      </c>
      <c r="P175" s="7">
        <f>10570328.03-O175-N175-M175-L175-K175-J175-I175-H175</f>
        <v>836435.59000000008</v>
      </c>
      <c r="Q175" s="7">
        <f>13166796.22-P175-O175-N175-M175-L175-K175-J175-I175-H175</f>
        <v>2596468.1900000023</v>
      </c>
      <c r="R175" s="7">
        <f>13281070.89-Q175-P175-O175-N175-M175-L175-K175-J175-I175-H175</f>
        <v>114274.67000000004</v>
      </c>
      <c r="S175" s="7">
        <f>17144432.26-R175-Q175-P175-O175-N175-M175-L175-K175-J175-I175-H175</f>
        <v>3863361.3699999982</v>
      </c>
    </row>
    <row r="176" spans="1:19" ht="22.5" x14ac:dyDescent="0.25">
      <c r="A176" s="24" t="s">
        <v>273</v>
      </c>
      <c r="B176" s="17" t="s">
        <v>196</v>
      </c>
      <c r="C176" s="17" t="s">
        <v>228</v>
      </c>
      <c r="D176" s="18"/>
      <c r="E176" s="18"/>
      <c r="F176" s="18"/>
      <c r="G176" s="19">
        <v>8824218.0500000007</v>
      </c>
      <c r="H176" s="7">
        <v>620000</v>
      </c>
      <c r="I176" s="7">
        <f>1962559-H176</f>
        <v>1342559</v>
      </c>
      <c r="J176" s="7">
        <f>2370809-I176-H176</f>
        <v>408250</v>
      </c>
      <c r="K176" s="7">
        <f>3394265.19-J176-I176-H176</f>
        <v>1023456.19</v>
      </c>
      <c r="L176" s="7">
        <f>3844265.19-K176-J176-I176-H176</f>
        <v>450000</v>
      </c>
      <c r="M176" s="7">
        <f>4714673.58-L176-K176-J176-I176-H176</f>
        <v>870408.39000000013</v>
      </c>
      <c r="N176" s="7">
        <f>5311360.58-M176-L176-K176-J176-I176-H176</f>
        <v>596686.99999999953</v>
      </c>
      <c r="O176" s="7">
        <f>6184191.94-N176-M176-L176-K176-J176-I176-H176</f>
        <v>872831.3600000008</v>
      </c>
      <c r="P176" s="7">
        <f>6567776.94-O176-N176-M176-L176-K176-J176-I176-H176</f>
        <v>383584.99999999953</v>
      </c>
      <c r="Q176" s="7">
        <f>7133756.94-P176-O176-N176-M176-L176-K176-J176-I176-H176</f>
        <v>565979.99999999953</v>
      </c>
      <c r="R176" s="7">
        <f>7966550.94-Q176-P176-O176-N176-M176-L176-K176-J176-I176-H176</f>
        <v>832793.99999999953</v>
      </c>
      <c r="S176" s="7">
        <f>8819818.05-R176-Q176-P176-O176-N176-M176-L176-K176-J176-I176-H176</f>
        <v>853267.10999999894</v>
      </c>
    </row>
    <row r="177" spans="1:19" x14ac:dyDescent="0.25">
      <c r="A177" s="24" t="s">
        <v>272</v>
      </c>
      <c r="B177" s="17" t="s">
        <v>196</v>
      </c>
      <c r="C177" s="17" t="s">
        <v>229</v>
      </c>
      <c r="D177" s="18"/>
      <c r="E177" s="18"/>
      <c r="F177" s="18"/>
      <c r="G177" s="19">
        <v>8824218.0500000007</v>
      </c>
      <c r="H177" s="7">
        <v>620000</v>
      </c>
      <c r="I177" s="7">
        <f>1962559-H177</f>
        <v>1342559</v>
      </c>
      <c r="J177" s="7">
        <f>2370809-I177-H177</f>
        <v>408250</v>
      </c>
      <c r="K177" s="7">
        <f>3394265.19-J177-I177-H177</f>
        <v>1023456.19</v>
      </c>
      <c r="L177" s="7">
        <f>3844265.19-K177-J177-I177-H177</f>
        <v>450000</v>
      </c>
      <c r="M177" s="7">
        <f>4714673.58-L177-K177-J177-I177-H177</f>
        <v>870408.39000000013</v>
      </c>
      <c r="N177" s="7">
        <f>5311360.58-M177-L177-K177-J177-I177-H177</f>
        <v>596686.99999999953</v>
      </c>
      <c r="O177" s="7">
        <f>6184191.94-N177-M177-L177-K177-J177-I177-H177</f>
        <v>872831.3600000008</v>
      </c>
      <c r="P177" s="7">
        <f>6567776.94-O177-N177-M177-L177-K177-J177-I177-H177</f>
        <v>383584.99999999953</v>
      </c>
      <c r="Q177" s="7">
        <f>7133756.94-P177-O177-N177-M177-L177-K177-J177-I177-H177</f>
        <v>565979.99999999953</v>
      </c>
      <c r="R177" s="7">
        <f>7966550.94-Q177-P177-O177-N177-M177-L177-K177-J177-I177-H177</f>
        <v>832793.99999999953</v>
      </c>
      <c r="S177" s="7">
        <f>8819818.05-R177-Q177-P177-O177-N177-M177-L177-K177-J177-I177-H177</f>
        <v>853267.10999999894</v>
      </c>
    </row>
    <row r="178" spans="1:19" ht="12.75" customHeight="1" x14ac:dyDescent="0.25">
      <c r="A178" s="24" t="s">
        <v>262</v>
      </c>
      <c r="B178" s="17" t="s">
        <v>196</v>
      </c>
      <c r="C178" s="17" t="s">
        <v>230</v>
      </c>
      <c r="D178" s="18"/>
      <c r="E178" s="18"/>
      <c r="F178" s="18"/>
      <c r="G178" s="19">
        <v>21475300</v>
      </c>
      <c r="H178" s="7">
        <v>1028179.02</v>
      </c>
      <c r="I178" s="7">
        <f>3407201.86-H178</f>
        <v>2379022.84</v>
      </c>
      <c r="J178" s="7">
        <f>5088489.1-I178-H178</f>
        <v>1681287.2399999998</v>
      </c>
      <c r="K178" s="7">
        <f>7021972.28-J178-I178-H178</f>
        <v>1933483.1800000011</v>
      </c>
      <c r="L178" s="7">
        <f>8918252.77-K178-J178-I178-H178</f>
        <v>1896280.4899999979</v>
      </c>
      <c r="M178" s="7">
        <f>10484679.89-L178-K178-J178-I178-H178</f>
        <v>1566427.1200000006</v>
      </c>
      <c r="N178" s="7">
        <f>11890779.62-M178-L178-K178-J178-I178-H178</f>
        <v>1406099.7299999981</v>
      </c>
      <c r="O178" s="7">
        <f>12696511.07-N178-M178-L178-K178-J178-I178-H178</f>
        <v>805731.45000000065</v>
      </c>
      <c r="P178" s="7">
        <f>13923946.3-O178-N178-M178-L178-K178-J178-I178-H178</f>
        <v>1227435.23</v>
      </c>
      <c r="Q178" s="7">
        <f>15973494.12-P178-O178-N178-M178-L178-K178-J178-I178-H178</f>
        <v>2049547.819999998</v>
      </c>
      <c r="R178" s="7">
        <f>17601816.09-Q178-P178-O178-N178-M178-L178-K178-J178-I178-H178</f>
        <v>1628321.9700000002</v>
      </c>
      <c r="S178" s="7">
        <f>18889976.14-R178-Q178-P178-O178-N178-M178-L178-K178-J178-I178-H178</f>
        <v>1288160.0500000021</v>
      </c>
    </row>
    <row r="179" spans="1:19" ht="13.5" customHeight="1" x14ac:dyDescent="0.25">
      <c r="A179" s="24" t="s">
        <v>261</v>
      </c>
      <c r="B179" s="17" t="s">
        <v>196</v>
      </c>
      <c r="C179" s="17" t="s">
        <v>231</v>
      </c>
      <c r="D179" s="18"/>
      <c r="E179" s="18"/>
      <c r="F179" s="18"/>
      <c r="G179" s="19">
        <v>103000</v>
      </c>
      <c r="H179" s="7">
        <v>8373.18</v>
      </c>
      <c r="I179" s="7">
        <f>15087.99-H179</f>
        <v>6714.8099999999995</v>
      </c>
      <c r="J179" s="7">
        <f>21802.8-I179-H179</f>
        <v>6714.8099999999995</v>
      </c>
      <c r="K179" s="7">
        <f>28517.61-J179-I179-H179</f>
        <v>6714.8100000000031</v>
      </c>
      <c r="L179" s="7">
        <f>35232.42-K179-J179-I179-H179</f>
        <v>6714.8099999999959</v>
      </c>
      <c r="M179" s="7">
        <f>41947.23-L179-K179-J179-I179-H179</f>
        <v>6714.8100000000031</v>
      </c>
      <c r="N179" s="7">
        <f>48903.98-M179-L179-K179-J179-I179-H179</f>
        <v>6956.7499999999982</v>
      </c>
      <c r="O179" s="7">
        <f>56118.79-N179-M179-L179-K179-J179-I179-H179</f>
        <v>7214.8099999999959</v>
      </c>
      <c r="P179" s="7">
        <f>63333.6-O179-N179-M179-L179-K179-J179-I179-H179</f>
        <v>7214.8099999999959</v>
      </c>
      <c r="Q179" s="7">
        <f>70548.41-P179-O179-N179-M179-L179-K179-J179-I179-H179</f>
        <v>7214.8100000000031</v>
      </c>
      <c r="R179" s="7">
        <f>79019.02-Q179-P179-O179-N179-M179-L179-K179-J179-I179-H179</f>
        <v>8470.6100000000079</v>
      </c>
      <c r="S179" s="7">
        <f>87650.92-R179-Q179-P179-O179-N179-M179-L179-K179-J179-I179-H179</f>
        <v>8631.9000000000015</v>
      </c>
    </row>
    <row r="180" spans="1:19" ht="22.5" x14ac:dyDescent="0.25">
      <c r="A180" s="24" t="s">
        <v>271</v>
      </c>
      <c r="B180" s="17" t="s">
        <v>196</v>
      </c>
      <c r="C180" s="17" t="s">
        <v>232</v>
      </c>
      <c r="D180" s="18"/>
      <c r="E180" s="18"/>
      <c r="F180" s="18"/>
      <c r="G180" s="19">
        <v>11768300</v>
      </c>
      <c r="H180" s="7">
        <v>373710.43</v>
      </c>
      <c r="I180" s="7">
        <f>2084433.57-H180</f>
        <v>1710723.1400000001</v>
      </c>
      <c r="J180" s="7">
        <f>3096113.57-I180-H180</f>
        <v>1011679.9999999998</v>
      </c>
      <c r="K180" s="7">
        <f>4175727.81-J180-I180-H180</f>
        <v>1079614.2400000005</v>
      </c>
      <c r="L180" s="7">
        <f>5185118.27-K180-J180-I180-H180</f>
        <v>1009390.4599999993</v>
      </c>
      <c r="M180" s="7">
        <f>5910055-L180-K180-J180-I180-H180</f>
        <v>724936.73000000068</v>
      </c>
      <c r="N180" s="7">
        <f>6495890-M180-L180-K180-J180-I180-H180</f>
        <v>585835.00000000023</v>
      </c>
      <c r="O180" s="7">
        <f>6835890-N180-M180-L180-K180-J180-I180-H180</f>
        <v>340000.00000000017</v>
      </c>
      <c r="P180" s="7">
        <f>7607565-O180-N180-M180-L180-K180-J180-I180-H180</f>
        <v>771675.00000000023</v>
      </c>
      <c r="Q180" s="7">
        <f>8808565-P180-O180-N180-M180-L180-K180-J180-I180-H180</f>
        <v>1201000.0000000002</v>
      </c>
      <c r="R180" s="7">
        <f>9885100-Q180-P180-O180-N180-M180-L180-K180-J180-I180-H180</f>
        <v>1076535.0000000002</v>
      </c>
      <c r="S180" s="7">
        <f>10479038.51-R180-Q180-P180-O180-N180-M180-L180-K180-J180-I180-H180</f>
        <v>593938.51</v>
      </c>
    </row>
    <row r="181" spans="1:19" x14ac:dyDescent="0.25">
      <c r="A181" s="24" t="s">
        <v>270</v>
      </c>
      <c r="B181" s="17" t="s">
        <v>196</v>
      </c>
      <c r="C181" s="17" t="s">
        <v>233</v>
      </c>
      <c r="D181" s="18"/>
      <c r="E181" s="18"/>
      <c r="F181" s="18"/>
      <c r="G181" s="19">
        <v>9604000</v>
      </c>
      <c r="H181" s="7">
        <v>646095.41</v>
      </c>
      <c r="I181" s="7">
        <f>1307680.3-H181</f>
        <v>661584.89</v>
      </c>
      <c r="J181" s="7">
        <f>1970572.73-I181-H181</f>
        <v>662892.42999999982</v>
      </c>
      <c r="K181" s="7">
        <f>2817726.86-J181-I181-H181</f>
        <v>847154.13</v>
      </c>
      <c r="L181" s="7">
        <f>3697902.08-K181-J181-I181-H181</f>
        <v>880175.22000000032</v>
      </c>
      <c r="M181" s="7">
        <f>4532677.66-L181-K181-J181-I181-H181</f>
        <v>834775.58000000019</v>
      </c>
      <c r="N181" s="7">
        <f>5345985.64-M181-L181-K181-J181-I181-H181</f>
        <v>813307.97999999963</v>
      </c>
      <c r="O181" s="7">
        <f>5804502.28-N181-M181-L181-K181-J181-I181-H181</f>
        <v>458516.64000000071</v>
      </c>
      <c r="P181" s="7">
        <f>6253047.7-O181-N181-M181-L181-K181-J181-I181-H181</f>
        <v>448545.42000000004</v>
      </c>
      <c r="Q181" s="7">
        <f>7094380.71-P181-O181-N181-M181-L181-K181-J181-I181-H181</f>
        <v>841333.00999999989</v>
      </c>
      <c r="R181" s="7">
        <f>1972208-Q181-P181-O181-N181-M181-L181-K181-J181-I181-H181</f>
        <v>-5122172.71</v>
      </c>
      <c r="S181" s="7">
        <f>8323286.71-R181-Q181-P181-O181-N181-M181-L181-K181-J181-I181-H181</f>
        <v>6351078.709999999</v>
      </c>
    </row>
    <row r="182" spans="1:19" ht="22.5" x14ac:dyDescent="0.25">
      <c r="A182" s="24" t="s">
        <v>269</v>
      </c>
      <c r="B182" s="17" t="s">
        <v>196</v>
      </c>
      <c r="C182" s="17" t="s">
        <v>234</v>
      </c>
      <c r="D182" s="18"/>
      <c r="E182" s="18"/>
      <c r="F182" s="18"/>
      <c r="G182" s="19">
        <v>30245915.600000001</v>
      </c>
      <c r="H182" s="7">
        <v>3039270</v>
      </c>
      <c r="I182" s="7">
        <f>8015930-H182</f>
        <v>4976660</v>
      </c>
      <c r="J182" s="7">
        <f>12075966-I182-H182</f>
        <v>4060036</v>
      </c>
      <c r="K182" s="7">
        <f>15751680-J182-I182-H182</f>
        <v>3675714</v>
      </c>
      <c r="L182" s="7">
        <f>17552680-K182-J182-I182-H182</f>
        <v>1801000</v>
      </c>
      <c r="M182" s="7">
        <f>20670680-L182-K182-J182-I182-H182</f>
        <v>3118000</v>
      </c>
      <c r="N182" s="7">
        <f>19977534-M182-L182-K182-J182-I182-H182</f>
        <v>-693146</v>
      </c>
      <c r="O182" s="7">
        <f>22344834-N182-M182-L182-K182-J182-I182-H182</f>
        <v>2367300</v>
      </c>
      <c r="P182" s="7">
        <f>23971834-O182-N182-M182-L182-K182-J182-I182-H182</f>
        <v>1627000</v>
      </c>
      <c r="Q182" s="7">
        <f>25431834-P182-O182-N182-M182-L182-K182-J182-I182-H182</f>
        <v>1460000</v>
      </c>
      <c r="R182" s="7">
        <f>27420614.75-Q182-P182-O182-N182-M182-L182-K182-J182-I182-H182</f>
        <v>1988780.75</v>
      </c>
      <c r="S182" s="7">
        <f>30227005.6-R182-Q182-P182-O182-N182-M182-L182-K182-J182-I182-H182</f>
        <v>2806390.8500000015</v>
      </c>
    </row>
    <row r="183" spans="1:19" x14ac:dyDescent="0.25">
      <c r="A183" s="24" t="s">
        <v>268</v>
      </c>
      <c r="B183" s="17" t="s">
        <v>196</v>
      </c>
      <c r="C183" s="17" t="s">
        <v>235</v>
      </c>
      <c r="D183" s="18"/>
      <c r="E183" s="18"/>
      <c r="F183" s="18"/>
      <c r="G183" s="19">
        <v>160000</v>
      </c>
      <c r="H183" s="7">
        <v>0</v>
      </c>
      <c r="I183" s="7">
        <f>45000-H183</f>
        <v>45000</v>
      </c>
      <c r="J183" s="7">
        <f>42000-I183-H183</f>
        <v>-3000</v>
      </c>
      <c r="K183" s="7">
        <f>55000-J183-I183-H183</f>
        <v>13000</v>
      </c>
      <c r="L183" s="7">
        <f>55000-K183-J183-I183-H183</f>
        <v>0</v>
      </c>
      <c r="M183" s="7">
        <f>55000-L183-K183-J183-I183-H183</f>
        <v>0</v>
      </c>
      <c r="N183" s="7">
        <f>68000-M183-L183-K183-J183-I183-H183</f>
        <v>13000</v>
      </c>
      <c r="O183" s="7">
        <f>70000-N183-M183-L183-K183-J183-I183-H183</f>
        <v>2000</v>
      </c>
      <c r="P183" s="7">
        <f>103000-O183-N183-M183-L183-K183-J183-I183-H183</f>
        <v>33000</v>
      </c>
      <c r="Q183" s="7">
        <f>109000-P183-O183-N183-M183-L183-K183-J183-I183-H183</f>
        <v>6000</v>
      </c>
      <c r="R183" s="7">
        <f>122800-Q183-P183-O183-N183-M183-L183-K183-J183-I183-H183</f>
        <v>13800</v>
      </c>
      <c r="S183" s="7">
        <f>159390-R183-Q183-P183-O183-N183-M183-L183-K183-J183-I183-H183</f>
        <v>36590</v>
      </c>
    </row>
    <row r="184" spans="1:19" x14ac:dyDescent="0.25">
      <c r="A184" s="24" t="s">
        <v>267</v>
      </c>
      <c r="B184" s="17" t="s">
        <v>196</v>
      </c>
      <c r="C184" s="17" t="s">
        <v>236</v>
      </c>
      <c r="D184" s="18"/>
      <c r="E184" s="18"/>
      <c r="F184" s="18"/>
      <c r="G184" s="19">
        <v>30085915.600000001</v>
      </c>
      <c r="H184" s="7">
        <v>3039270</v>
      </c>
      <c r="I184" s="7">
        <f>7970930-H184</f>
        <v>4931660</v>
      </c>
      <c r="J184" s="7">
        <f>12020966-I184-H184</f>
        <v>4050036</v>
      </c>
      <c r="K184" s="7">
        <f>15696680-J184-I184-H184</f>
        <v>3675714</v>
      </c>
      <c r="L184" s="7">
        <f>17497680-K184-J184-I184-H184</f>
        <v>1801000</v>
      </c>
      <c r="M184" s="7">
        <f>20615680-L184-K184-J184-I184-H184</f>
        <v>3118000</v>
      </c>
      <c r="N184" s="7">
        <f>19909534-M184-L184-K184-J184-I184-H184</f>
        <v>-706146</v>
      </c>
      <c r="O184" s="7">
        <f>22274834-N184-M184-L184-K184-J184-I184-H184</f>
        <v>2365300</v>
      </c>
      <c r="P184" s="7">
        <f>23868834-O184-N184-M184-L184-K184-J184-I184-H184</f>
        <v>1594000</v>
      </c>
      <c r="Q184" s="7">
        <f>25322834-P184-O184-N184-M184-L184-K184-J184-I184-H184</f>
        <v>1454000</v>
      </c>
      <c r="R184" s="7">
        <f>27297814.75-Q184-P184-O184-N184-M184-L184-K184-J184-I184-H184</f>
        <v>1974980.75</v>
      </c>
      <c r="S184" s="7">
        <f>30067615.6-R184-Q184-P184-O184-N184-M184-L184-K184-J184-I184-H184</f>
        <v>2769800.8500000015</v>
      </c>
    </row>
    <row r="185" spans="1:19" ht="21" customHeight="1" x14ac:dyDescent="0.25">
      <c r="A185" s="24" t="s">
        <v>237</v>
      </c>
      <c r="B185" s="17" t="s">
        <v>196</v>
      </c>
      <c r="C185" s="17" t="s">
        <v>238</v>
      </c>
      <c r="D185" s="18"/>
      <c r="E185" s="18"/>
      <c r="F185" s="18"/>
      <c r="G185" s="19">
        <v>4867366.59</v>
      </c>
      <c r="H185" s="7">
        <v>357700</v>
      </c>
      <c r="I185" s="7">
        <f>1278931-H185</f>
        <v>921231</v>
      </c>
      <c r="J185" s="7">
        <f>1533531-I185-H185</f>
        <v>254600</v>
      </c>
      <c r="K185" s="7">
        <f>2060201.17-J185-I185-H185</f>
        <v>526670.16999999993</v>
      </c>
      <c r="L185" s="7">
        <f>2560426.17-K185-J185-I185-H185</f>
        <v>500225</v>
      </c>
      <c r="M185" s="7">
        <f>2560426.17-L185-K185-J185-I185-H185</f>
        <v>0</v>
      </c>
      <c r="N185" s="7">
        <f>2746715.09-M185-L185-K185-J185-I185-H185</f>
        <v>186288.91999999993</v>
      </c>
      <c r="O185" s="7">
        <f>3074015.09-N185-M185-L185-K185-J185-I185-H185</f>
        <v>327300</v>
      </c>
      <c r="P185" s="7">
        <f>3234315.09-O185-N185-M185-L185-K185-J185-I185-H185</f>
        <v>160300</v>
      </c>
      <c r="Q185" s="7">
        <f>3779615.09-P185-O185-N185-M185-L185-K185-J185-I185-H185</f>
        <v>545300</v>
      </c>
      <c r="R185" s="7">
        <f>4324964.94-Q185-P185-O185-N185-M185-L185-K185-J185-I185-H185</f>
        <v>545349.85000000056</v>
      </c>
      <c r="S185" s="7">
        <f>4867366.59-R185-Q185-P185-O185-N185-M185-L185-K185-J185-I185-H185</f>
        <v>542401.64999999944</v>
      </c>
    </row>
    <row r="186" spans="1:19" ht="22.5" x14ac:dyDescent="0.25">
      <c r="A186" s="24" t="s">
        <v>266</v>
      </c>
      <c r="B186" s="17" t="s">
        <v>196</v>
      </c>
      <c r="C186" s="17" t="s">
        <v>239</v>
      </c>
      <c r="D186" s="18"/>
      <c r="E186" s="18"/>
      <c r="F186" s="18"/>
      <c r="G186" s="19">
        <v>4867366.59</v>
      </c>
      <c r="H186" s="7">
        <v>357700</v>
      </c>
      <c r="I186" s="7">
        <f>1278931-H186</f>
        <v>921231</v>
      </c>
      <c r="J186" s="7">
        <f>1533531-I186-H186</f>
        <v>254600</v>
      </c>
      <c r="K186" s="7">
        <f>2060201.17-J186-I186-H186</f>
        <v>526670.16999999993</v>
      </c>
      <c r="L186" s="7">
        <f>2560426.17-K186-J186-I186-H186</f>
        <v>500225</v>
      </c>
      <c r="M186" s="7">
        <f>2560426.17-L186-K186-J186-I186-H186</f>
        <v>0</v>
      </c>
      <c r="N186" s="7">
        <f>2746715.09-M186-L186-K186-J186-I186-H186</f>
        <v>186288.91999999993</v>
      </c>
      <c r="O186" s="7">
        <f>3074015.09-N186-M186-L186-K186-J186-I186-H186</f>
        <v>327300</v>
      </c>
      <c r="P186" s="7">
        <f>3234315.09-O186-N186-M186-L186-K186-J186-I186-H186</f>
        <v>160300</v>
      </c>
      <c r="Q186" s="7">
        <f>3779615.09-P186-O186-N186-M186-L186-K186-J186-I186-H186</f>
        <v>545300</v>
      </c>
      <c r="R186" s="7">
        <f>4324964.94-Q186-P186-O186-N186-M186-L186-K186-J186-I186-H186</f>
        <v>545349.85000000056</v>
      </c>
      <c r="S186" s="7">
        <f>4867366.59-R186-Q186-P186-O186-N186-M186-L186-K186-J186-I186-H186</f>
        <v>542401.64999999944</v>
      </c>
    </row>
    <row r="187" spans="1:19" ht="45.75" customHeight="1" x14ac:dyDescent="0.25">
      <c r="A187" s="24" t="s">
        <v>187</v>
      </c>
      <c r="B187" s="17" t="s">
        <v>240</v>
      </c>
      <c r="C187" s="18"/>
      <c r="D187" s="18"/>
      <c r="E187" s="18"/>
      <c r="F187" s="18"/>
      <c r="G187" s="19">
        <v>7648240.1399999997</v>
      </c>
      <c r="H187" s="7">
        <v>451658.54</v>
      </c>
      <c r="I187" s="7">
        <f>937067.26-H187</f>
        <v>485408.72000000003</v>
      </c>
      <c r="J187" s="7">
        <f>1495037.92-I187-H187</f>
        <v>557970.65999999992</v>
      </c>
      <c r="K187" s="7">
        <f>2129982.12-J187-I187-H187</f>
        <v>634944.20000000019</v>
      </c>
      <c r="L187" s="7">
        <f>2864306.29-K187-J187-I187-H187</f>
        <v>734324.16999999993</v>
      </c>
      <c r="M187" s="7">
        <f>3250806.92-L187-K187-J187-I187-H187</f>
        <v>386500.62999999995</v>
      </c>
      <c r="N187" s="7">
        <f>4356391.71-M187-L187-K187-J187-I187-H187</f>
        <v>1105584.79</v>
      </c>
      <c r="O187" s="7">
        <f>4585157.69-N187-M187-L187-K187-J187-I187-H187</f>
        <v>228765.98000000051</v>
      </c>
      <c r="P187" s="7">
        <f>5160957.36-O187-N187-M187-L187-K187-J187-I187-H187</f>
        <v>575799.66999999993</v>
      </c>
      <c r="Q187" s="7">
        <f>5724935.3-P187-O187-N187-M187-L187-K187-J187-I187-H187</f>
        <v>563977.93999999948</v>
      </c>
      <c r="R187" s="7">
        <f>6210837.91-Q187-P187-O187-N187-M187-L187-K187-J187-I187-H187</f>
        <v>485902.61000000039</v>
      </c>
      <c r="S187" s="7">
        <f>7643180.52-R187-Q187-P187-O187-N187-M187-L187-K187-J187-I187-H187</f>
        <v>1432342.6099999992</v>
      </c>
    </row>
    <row r="188" spans="1:19" ht="22.5" x14ac:dyDescent="0.25">
      <c r="A188" s="24" t="s">
        <v>265</v>
      </c>
      <c r="B188" s="17" t="s">
        <v>240</v>
      </c>
      <c r="C188" s="17" t="s">
        <v>197</v>
      </c>
      <c r="D188" s="18"/>
      <c r="E188" s="18"/>
      <c r="F188" s="18"/>
      <c r="G188" s="19">
        <v>7642240.1399999997</v>
      </c>
      <c r="H188" s="7">
        <v>451158.54</v>
      </c>
      <c r="I188" s="7">
        <f>936067.26-H188</f>
        <v>484908.72000000003</v>
      </c>
      <c r="J188" s="7">
        <f>1493537.92-I188-H188</f>
        <v>557470.65999999992</v>
      </c>
      <c r="K188" s="7">
        <f>2127982.12-J188-I188-H188</f>
        <v>634444.20000000019</v>
      </c>
      <c r="L188" s="7">
        <f>2861806.29-K188-J188-I188-H188</f>
        <v>733824.16999999993</v>
      </c>
      <c r="M188" s="7">
        <f>3247806.92-L188-K188-J188-I188-H188</f>
        <v>386000.62999999995</v>
      </c>
      <c r="N188" s="7">
        <f>4352891.71-M188-L188-K188-J188-I188-H188</f>
        <v>1105084.79</v>
      </c>
      <c r="O188" s="7">
        <f>4581157.69-N188-M188-L188-K188-J188-I188-H188</f>
        <v>228265.98000000051</v>
      </c>
      <c r="P188" s="7">
        <f>5156457.36-O188-N188-M188-L188-K188-J188-I188-H188</f>
        <v>575299.66999999993</v>
      </c>
      <c r="Q188" s="7">
        <f>5719935.3-P188-O188-N188-M188-L188-K188-J188-I188-H188</f>
        <v>563477.93999999948</v>
      </c>
      <c r="R188" s="7">
        <f>6205337.91-Q188-P188-O188-N188-M188-L188-K188-J188-I188-H188</f>
        <v>485402.61000000039</v>
      </c>
      <c r="S188" s="7">
        <f>7637180.52-R188-Q188-P188-O188-N188-M188-L188-K188-J188-I188-H188</f>
        <v>1431842.6099999992</v>
      </c>
    </row>
    <row r="189" spans="1:19" ht="90" x14ac:dyDescent="0.25">
      <c r="A189" s="24" t="s">
        <v>298</v>
      </c>
      <c r="B189" s="17" t="s">
        <v>240</v>
      </c>
      <c r="C189" s="17" t="s">
        <v>199</v>
      </c>
      <c r="D189" s="18"/>
      <c r="E189" s="18"/>
      <c r="F189" s="18"/>
      <c r="G189" s="19">
        <v>6959680.1399999997</v>
      </c>
      <c r="H189" s="7">
        <v>451158.54</v>
      </c>
      <c r="I189" s="7">
        <f>923739.26-H189</f>
        <v>472580.72000000003</v>
      </c>
      <c r="J189" s="7">
        <f>1377955.59-I189-H189</f>
        <v>454216.33000000013</v>
      </c>
      <c r="K189" s="7">
        <f>2009695.18-J189-I189-H189</f>
        <v>631739.58999999985</v>
      </c>
      <c r="L189" s="7">
        <f>2727904.74-K189-J189-I189-H189</f>
        <v>718209.56000000029</v>
      </c>
      <c r="M189" s="7">
        <f>3026900.76-L189-K189-J189-I189-H189</f>
        <v>298996.01999999938</v>
      </c>
      <c r="N189" s="7">
        <f>4106980.94-M189-L189-K189-J189-I189-H189</f>
        <v>1080080.1800000004</v>
      </c>
      <c r="O189" s="7">
        <f>4332533.65-N189-M189-L189-K189-J189-I189-H189</f>
        <v>225552.70999999979</v>
      </c>
      <c r="P189" s="7">
        <f>4793168.24-O189-N189-M189-L189-K189-J189-I189-H189</f>
        <v>460634.58999999968</v>
      </c>
      <c r="Q189" s="7">
        <f>5306138.17-P189-O189-N189-M189-L189-K189-J189-I189-H189</f>
        <v>512969.92999999953</v>
      </c>
      <c r="R189" s="7">
        <f>5782531.89-Q189-P189-O189-N189-M189-L189-K189-J189-I189-H189</f>
        <v>476393.71999999956</v>
      </c>
      <c r="S189" s="7">
        <f>6959446.49-R189-Q189-P189-O189-N189-M189-L189-K189-J189-I189-H189</f>
        <v>1176914.6000000003</v>
      </c>
    </row>
    <row r="190" spans="1:19" ht="21" customHeight="1" x14ac:dyDescent="0.25">
      <c r="A190" s="24" t="s">
        <v>263</v>
      </c>
      <c r="B190" s="17" t="s">
        <v>240</v>
      </c>
      <c r="C190" s="17" t="s">
        <v>202</v>
      </c>
      <c r="D190" s="18"/>
      <c r="E190" s="18"/>
      <c r="F190" s="18"/>
      <c r="G190" s="19">
        <v>682560</v>
      </c>
      <c r="H190" s="7">
        <v>0</v>
      </c>
      <c r="I190" s="7">
        <f>12328-H190</f>
        <v>12328</v>
      </c>
      <c r="J190" s="7">
        <f>115582.33-I190-H190</f>
        <v>103254.33</v>
      </c>
      <c r="K190" s="7">
        <f>118286.94-J190-I190-H190</f>
        <v>2704.6100000000006</v>
      </c>
      <c r="L190" s="7">
        <f>133901.55-K190-J190-I190-H190</f>
        <v>15614.61</v>
      </c>
      <c r="M190" s="7">
        <f>220906.16-L190-K190-J190-I190-H190</f>
        <v>87004.61</v>
      </c>
      <c r="N190" s="7">
        <f>245910.77-M190-L190-K190-J190-I190-H190</f>
        <v>25004.61</v>
      </c>
      <c r="O190" s="7">
        <f>248624.04-N190-M190-L190-K190-J190-I190-H190</f>
        <v>2713.2700000000041</v>
      </c>
      <c r="P190" s="7">
        <f>363289.12-O190-N190-M190-L190-K190-J190-I190-H190</f>
        <v>114665.08000000003</v>
      </c>
      <c r="Q190" s="7">
        <f>413797.13-P190-O190-N190-M190-L190-K190-J190-I190-H190</f>
        <v>50508.010000000024</v>
      </c>
      <c r="R190" s="7">
        <f t="shared" ref="R190" si="90">111111-Q190-P190-O190-N190-M190-L190-K190-J190-I190-H190</f>
        <v>-302686.13000000006</v>
      </c>
      <c r="S190" s="7">
        <f>677734.03-R190-Q190-P190-O190-N190-M190-L190-K190-J190-I190-H190</f>
        <v>566623.03000000014</v>
      </c>
    </row>
    <row r="191" spans="1:19" ht="16.5" customHeight="1" x14ac:dyDescent="0.25">
      <c r="A191" s="24" t="s">
        <v>262</v>
      </c>
      <c r="B191" s="17" t="s">
        <v>240</v>
      </c>
      <c r="C191" s="17" t="s">
        <v>230</v>
      </c>
      <c r="D191" s="18"/>
      <c r="E191" s="18"/>
      <c r="F191" s="18"/>
      <c r="G191" s="19">
        <v>6000</v>
      </c>
      <c r="H191" s="7">
        <v>500</v>
      </c>
      <c r="I191" s="7">
        <f>1000-H191</f>
        <v>500</v>
      </c>
      <c r="J191" s="7">
        <f>1500-I191-H191</f>
        <v>500</v>
      </c>
      <c r="K191" s="7">
        <f>2000-J191-I191-H191</f>
        <v>500</v>
      </c>
      <c r="L191" s="7">
        <v>500</v>
      </c>
      <c r="M191" s="7">
        <v>500</v>
      </c>
      <c r="N191" s="7">
        <v>500</v>
      </c>
      <c r="O191" s="7">
        <v>500</v>
      </c>
      <c r="P191" s="7">
        <v>500</v>
      </c>
      <c r="Q191" s="7">
        <v>500</v>
      </c>
      <c r="R191" s="7">
        <v>500</v>
      </c>
      <c r="S191" s="7">
        <v>500</v>
      </c>
    </row>
    <row r="192" spans="1:19" ht="17.25" customHeight="1" x14ac:dyDescent="0.25">
      <c r="A192" s="24" t="s">
        <v>261</v>
      </c>
      <c r="B192" s="17" t="s">
        <v>240</v>
      </c>
      <c r="C192" s="17" t="s">
        <v>231</v>
      </c>
      <c r="D192" s="18"/>
      <c r="E192" s="18"/>
      <c r="F192" s="18"/>
      <c r="G192" s="19">
        <v>6000</v>
      </c>
      <c r="H192" s="7">
        <v>500</v>
      </c>
      <c r="I192" s="7">
        <f>1000-H192</f>
        <v>500</v>
      </c>
      <c r="J192" s="7">
        <f>1500-I192-H192</f>
        <v>500</v>
      </c>
      <c r="K192" s="7">
        <f>2000-J192-I192-H192</f>
        <v>500</v>
      </c>
      <c r="L192" s="7">
        <v>500</v>
      </c>
      <c r="M192" s="7">
        <v>500</v>
      </c>
      <c r="N192" s="7">
        <v>500</v>
      </c>
      <c r="O192" s="7">
        <v>500</v>
      </c>
      <c r="P192" s="7">
        <v>500</v>
      </c>
      <c r="Q192" s="7">
        <v>500</v>
      </c>
      <c r="R192" s="7">
        <v>500</v>
      </c>
      <c r="S192" s="7">
        <v>500</v>
      </c>
    </row>
    <row r="193" spans="1:19" ht="57" customHeight="1" x14ac:dyDescent="0.25">
      <c r="A193" s="24" t="s">
        <v>241</v>
      </c>
      <c r="B193" s="17" t="s">
        <v>242</v>
      </c>
      <c r="C193" s="18"/>
      <c r="D193" s="18"/>
      <c r="E193" s="18"/>
      <c r="F193" s="18"/>
      <c r="G193" s="19">
        <v>6706799</v>
      </c>
      <c r="H193" s="7">
        <v>404165.65</v>
      </c>
      <c r="I193" s="7">
        <f>809916.66-H193</f>
        <v>405751.01</v>
      </c>
      <c r="J193" s="7">
        <f>1274706.88-I193-H193</f>
        <v>464790.21999999986</v>
      </c>
      <c r="K193" s="7">
        <f>1917844.1-J193-I193-H193</f>
        <v>643137.22000000032</v>
      </c>
      <c r="L193" s="7">
        <f>3215071.94-K193-J193-I193-H193</f>
        <v>1297227.8399999999</v>
      </c>
      <c r="M193" s="7">
        <f>3317502.33-L193-K193-J193-I193-H193</f>
        <v>102430.39000000013</v>
      </c>
      <c r="N193" s="7">
        <f>3726485.28-M193-L193-K193-J193-I193-H193</f>
        <v>408982.94999999984</v>
      </c>
      <c r="O193" s="7">
        <f>4088635.13-N193-M193-L193-K193-J193-I193-H193</f>
        <v>362149.85000000021</v>
      </c>
      <c r="P193" s="7">
        <f>4622150.46-O193-N193-M193-L193-K193-J193-I193-H193</f>
        <v>533515.32999999973</v>
      </c>
      <c r="Q193" s="7">
        <f>5025586.62-P193-O193-N193-M193-L193-K193-J193-I193-H193</f>
        <v>403436.16000000027</v>
      </c>
      <c r="R193" s="7">
        <f>5546661.11-Q193-P193-O193-N193-M193-L193-K193-J193-I193-H193</f>
        <v>521074.48999999987</v>
      </c>
      <c r="S193" s="7">
        <f>6623012.68-R193-Q193-P193-O193-N193-M193-L193-K193-J193-I193-H193</f>
        <v>1076351.569999998</v>
      </c>
    </row>
    <row r="194" spans="1:19" ht="22.5" x14ac:dyDescent="0.25">
      <c r="A194" s="24" t="s">
        <v>265</v>
      </c>
      <c r="B194" s="17" t="s">
        <v>242</v>
      </c>
      <c r="C194" s="17" t="s">
        <v>197</v>
      </c>
      <c r="D194" s="18"/>
      <c r="E194" s="18"/>
      <c r="F194" s="18"/>
      <c r="G194" s="19">
        <v>6700799</v>
      </c>
      <c r="H194" s="7">
        <v>403665.65</v>
      </c>
      <c r="I194" s="7">
        <f>808916.66-H194</f>
        <v>405251.01</v>
      </c>
      <c r="J194" s="7">
        <f>1273206.88-I194-H194</f>
        <v>464290.21999999986</v>
      </c>
      <c r="K194" s="7">
        <f>1915844.1-J194-I194-H194</f>
        <v>642637.22000000032</v>
      </c>
      <c r="L194" s="7">
        <f>3212571.94-K194-J194-I194-H194</f>
        <v>1296727.8399999999</v>
      </c>
      <c r="M194" s="7">
        <f>3314502.33-L194-K194-J194-I194-H194</f>
        <v>101930.39000000013</v>
      </c>
      <c r="N194" s="7">
        <f>3722985.28-M194-L194-K194-J194-I194-H194</f>
        <v>408482.94999999984</v>
      </c>
      <c r="O194" s="7">
        <f>4084635.13-N194-M194-L194-K194-J194-I194-H194</f>
        <v>361649.85000000021</v>
      </c>
      <c r="P194" s="7">
        <f>4617650.46-O194-N194-M194-L194-K194-J194-I194-H194</f>
        <v>533015.32999999973</v>
      </c>
      <c r="Q194" s="7">
        <f t="shared" ref="Q194" si="91">1111111-P194-O194-N194-M194-L194-K194-J194-I194-H194</f>
        <v>-3506539.4599999995</v>
      </c>
      <c r="R194" s="7">
        <f>5541161.11-Q194-P194-O194-N194-M194-L194-K194-J194-I194-H194</f>
        <v>4430050.1099999985</v>
      </c>
      <c r="S194" s="7">
        <f>6617012.68-R194-Q194-P194-O194-N194-M194-L194-K194-J194-I194-H194</f>
        <v>1075851.5699999998</v>
      </c>
    </row>
    <row r="195" spans="1:19" ht="69" customHeight="1" x14ac:dyDescent="0.25">
      <c r="A195" s="24" t="s">
        <v>264</v>
      </c>
      <c r="B195" s="17" t="s">
        <v>242</v>
      </c>
      <c r="C195" s="17" t="s">
        <v>243</v>
      </c>
      <c r="D195" s="18"/>
      <c r="E195" s="18"/>
      <c r="F195" s="18"/>
      <c r="G195" s="19">
        <v>6440622</v>
      </c>
      <c r="H195" s="7">
        <v>403633.15</v>
      </c>
      <c r="I195" s="7">
        <f>808229.81-H195</f>
        <v>404596.66000000003</v>
      </c>
      <c r="J195" s="7">
        <f>1236540.89-I195-H195</f>
        <v>428311.07999999984</v>
      </c>
      <c r="K195" s="7">
        <f>1819973.67-J195-I195-H195</f>
        <v>583432.78</v>
      </c>
      <c r="L195" s="7">
        <f>3101366.58-K195-J195-I195-H195</f>
        <v>1281392.9100000001</v>
      </c>
      <c r="M195" s="7">
        <f>3200896.31-L195-K195-J195-I195-H195</f>
        <v>99529.729999999981</v>
      </c>
      <c r="N195" s="7">
        <f>3568670.39-M195-L195-K195-J195-I195-H195</f>
        <v>367774.08000000007</v>
      </c>
      <c r="O195" s="7">
        <f>3930024.66-N195-M195-L195-K195-J195-I195-H195</f>
        <v>361354.27</v>
      </c>
      <c r="P195" s="7">
        <f>4454720.7-O195-N195-M195-L195-K195-J195-I195-H195</f>
        <v>524696.04</v>
      </c>
      <c r="Q195" s="7">
        <f>4872907.43-P195-O195-N195-M195-L195-K195-J195-I195-H195</f>
        <v>418186.72999999952</v>
      </c>
      <c r="R195" s="7">
        <f>5386520.4-Q195-P195-O195-N195-M195-L195-K195-J195-I195-H195</f>
        <v>513612.97000000067</v>
      </c>
      <c r="S195" s="7">
        <f>6437751.73-R195-Q195-P195-O195-N195-M195-L195-K195-J195-I195-H195</f>
        <v>1051231.330000001</v>
      </c>
    </row>
    <row r="196" spans="1:19" ht="21" customHeight="1" x14ac:dyDescent="0.25">
      <c r="A196" s="24" t="s">
        <v>263</v>
      </c>
      <c r="B196" s="17" t="s">
        <v>242</v>
      </c>
      <c r="C196" s="17" t="s">
        <v>202</v>
      </c>
      <c r="D196" s="18"/>
      <c r="E196" s="18"/>
      <c r="F196" s="18"/>
      <c r="G196" s="19">
        <v>260177</v>
      </c>
      <c r="H196" s="7">
        <v>32.5</v>
      </c>
      <c r="I196" s="7">
        <f>686.85-H196</f>
        <v>654.35</v>
      </c>
      <c r="J196" s="7">
        <f>36665.99-I196-H196</f>
        <v>35979.14</v>
      </c>
      <c r="K196" s="7">
        <f>95870.43-J196-I196-H196</f>
        <v>59204.439999999995</v>
      </c>
      <c r="L196" s="7">
        <f>111205.36-K196-J196-I196-H196</f>
        <v>15334.930000000006</v>
      </c>
      <c r="M196" s="7">
        <f>113606.02-L196-K196-J196-I196-H196</f>
        <v>2400.6600000000021</v>
      </c>
      <c r="N196" s="7">
        <f>154314.89-M196-L196-K196-J196-I196-H196</f>
        <v>40708.870000000017</v>
      </c>
      <c r="O196" s="7">
        <f>154610.47-N196-M196-L196-K196-J196-I196-H196</f>
        <v>295.57999999997116</v>
      </c>
      <c r="P196" s="7">
        <f>74952.76-O196-N196-M196-L196-K196-J196-I196-H196</f>
        <v>-79657.710000000006</v>
      </c>
      <c r="Q196" s="7">
        <f>56032.19-P196-O196-N196-M196-L196-K196-J196-I196-H196</f>
        <v>-18920.569999999963</v>
      </c>
      <c r="R196" s="7">
        <f>154640.71-Q196-P196-O196-N196-M196-L196-K196-J196-I196-H196</f>
        <v>98608.52</v>
      </c>
      <c r="S196" s="7">
        <f>179260.95-R196-Q196-P196-O196-N196-M196-L196-K196-J196-I196-H196</f>
        <v>24620.239999999976</v>
      </c>
    </row>
    <row r="197" spans="1:19" ht="15" customHeight="1" x14ac:dyDescent="0.25">
      <c r="A197" s="24" t="s">
        <v>262</v>
      </c>
      <c r="B197" s="17" t="s">
        <v>242</v>
      </c>
      <c r="C197" s="17" t="s">
        <v>230</v>
      </c>
      <c r="D197" s="18"/>
      <c r="E197" s="18"/>
      <c r="F197" s="18"/>
      <c r="G197" s="19">
        <v>6000</v>
      </c>
      <c r="H197" s="7">
        <v>500</v>
      </c>
      <c r="I197" s="7">
        <f>1000-H197</f>
        <v>500</v>
      </c>
      <c r="J197" s="7">
        <f>1500-I197-H197</f>
        <v>500</v>
      </c>
      <c r="K197" s="7">
        <f>2000-J197-I197-H197</f>
        <v>500</v>
      </c>
      <c r="L197" s="7">
        <v>500</v>
      </c>
      <c r="M197" s="7">
        <v>500</v>
      </c>
      <c r="N197" s="7">
        <v>500</v>
      </c>
      <c r="O197" s="7">
        <v>500</v>
      </c>
      <c r="P197" s="7">
        <v>500</v>
      </c>
      <c r="Q197" s="7">
        <v>500</v>
      </c>
      <c r="R197" s="7">
        <v>500</v>
      </c>
      <c r="S197" s="7">
        <v>500</v>
      </c>
    </row>
    <row r="198" spans="1:19" ht="15" customHeight="1" x14ac:dyDescent="0.25">
      <c r="A198" s="24" t="s">
        <v>261</v>
      </c>
      <c r="B198" s="17" t="s">
        <v>242</v>
      </c>
      <c r="C198" s="17" t="s">
        <v>231</v>
      </c>
      <c r="D198" s="18"/>
      <c r="E198" s="18"/>
      <c r="F198" s="18"/>
      <c r="G198" s="19">
        <v>6000</v>
      </c>
      <c r="H198" s="7">
        <v>500</v>
      </c>
      <c r="I198" s="7">
        <f>1000-H198</f>
        <v>500</v>
      </c>
      <c r="J198" s="7">
        <f>1500-I198-H198</f>
        <v>500</v>
      </c>
      <c r="K198" s="7">
        <f>2000-J198-I198-H198</f>
        <v>500</v>
      </c>
      <c r="L198" s="7">
        <v>500</v>
      </c>
      <c r="M198" s="7">
        <v>500</v>
      </c>
      <c r="N198" s="7">
        <v>500</v>
      </c>
      <c r="O198" s="7">
        <v>500</v>
      </c>
      <c r="P198" s="7">
        <v>500</v>
      </c>
      <c r="Q198" s="7">
        <v>500</v>
      </c>
      <c r="R198" s="7">
        <v>500</v>
      </c>
      <c r="S198" s="7">
        <v>500</v>
      </c>
    </row>
    <row r="199" spans="1:19" x14ac:dyDescent="0.25">
      <c r="A199" s="25" t="s">
        <v>54</v>
      </c>
      <c r="B199" s="62" t="s">
        <v>260</v>
      </c>
      <c r="C199" s="52"/>
      <c r="D199" s="52"/>
      <c r="E199" s="52"/>
      <c r="F199" s="53"/>
      <c r="G199" s="8">
        <f>G187+G145+G193</f>
        <v>509376818.11000001</v>
      </c>
      <c r="H199" s="8">
        <f>H187+H145+H193</f>
        <v>33883394.68</v>
      </c>
      <c r="I199" s="8">
        <f t="shared" ref="I199:S199" si="92">I187+I145+I193</f>
        <v>42568399.399999999</v>
      </c>
      <c r="J199" s="8">
        <f t="shared" si="92"/>
        <v>38854288.200000003</v>
      </c>
      <c r="K199" s="8">
        <f t="shared" si="92"/>
        <v>44736119.879999995</v>
      </c>
      <c r="L199" s="8">
        <f t="shared" si="92"/>
        <v>48230918.810000032</v>
      </c>
      <c r="M199" s="8">
        <f t="shared" si="92"/>
        <v>46248655.289999999</v>
      </c>
      <c r="N199" s="8">
        <f t="shared" si="92"/>
        <v>31773030.890000045</v>
      </c>
      <c r="O199" s="8">
        <f t="shared" si="92"/>
        <v>26126155.780000001</v>
      </c>
      <c r="P199" s="8">
        <f t="shared" si="92"/>
        <v>30214484.169999965</v>
      </c>
      <c r="Q199" s="8">
        <f t="shared" si="92"/>
        <v>40888976.120000057</v>
      </c>
      <c r="R199" s="8">
        <f t="shared" si="92"/>
        <v>35569328.999999993</v>
      </c>
      <c r="S199" s="8">
        <f t="shared" si="92"/>
        <v>82967148.160000041</v>
      </c>
    </row>
    <row r="200" spans="1:19" ht="26.25" customHeight="1" x14ac:dyDescent="0.25">
      <c r="A200" s="26" t="s">
        <v>55</v>
      </c>
      <c r="B200" s="62" t="s">
        <v>260</v>
      </c>
      <c r="C200" s="52"/>
      <c r="D200" s="52"/>
      <c r="E200" s="52"/>
      <c r="F200" s="53"/>
      <c r="G200" s="8">
        <f>G199</f>
        <v>509376818.11000001</v>
      </c>
      <c r="H200" s="8">
        <f>H199</f>
        <v>33883394.68</v>
      </c>
      <c r="I200" s="8">
        <f t="shared" ref="I200:S200" si="93">I199</f>
        <v>42568399.399999999</v>
      </c>
      <c r="J200" s="8">
        <f t="shared" si="93"/>
        <v>38854288.200000003</v>
      </c>
      <c r="K200" s="8">
        <f t="shared" si="93"/>
        <v>44736119.879999995</v>
      </c>
      <c r="L200" s="8">
        <f t="shared" si="93"/>
        <v>48230918.810000032</v>
      </c>
      <c r="M200" s="8">
        <f t="shared" si="93"/>
        <v>46248655.289999999</v>
      </c>
      <c r="N200" s="8">
        <f t="shared" si="93"/>
        <v>31773030.890000045</v>
      </c>
      <c r="O200" s="8">
        <f t="shared" si="93"/>
        <v>26126155.780000001</v>
      </c>
      <c r="P200" s="8">
        <f t="shared" si="93"/>
        <v>30214484.169999965</v>
      </c>
      <c r="Q200" s="8">
        <f t="shared" si="93"/>
        <v>40888976.120000057</v>
      </c>
      <c r="R200" s="8">
        <f t="shared" si="93"/>
        <v>35569328.999999993</v>
      </c>
      <c r="S200" s="8">
        <f t="shared" si="93"/>
        <v>82967148.160000041</v>
      </c>
    </row>
    <row r="201" spans="1:19" ht="45.75" customHeight="1" x14ac:dyDescent="0.25">
      <c r="A201" s="26" t="s">
        <v>56</v>
      </c>
      <c r="B201" s="62" t="s">
        <v>260</v>
      </c>
      <c r="C201" s="52"/>
      <c r="D201" s="52"/>
      <c r="E201" s="52"/>
      <c r="F201" s="53"/>
      <c r="G201" s="8">
        <f>G202</f>
        <v>-6500000</v>
      </c>
      <c r="H201" s="8">
        <f t="shared" ref="H201:S202" si="94">H202</f>
        <v>-3545829.9899999984</v>
      </c>
      <c r="I201" s="8">
        <f t="shared" si="94"/>
        <v>-5819232.2100000009</v>
      </c>
      <c r="J201" s="8">
        <f t="shared" si="94"/>
        <v>-568202.76000000536</v>
      </c>
      <c r="K201" s="8">
        <f t="shared" si="94"/>
        <v>202019.07999999821</v>
      </c>
      <c r="L201" s="8">
        <f t="shared" si="94"/>
        <v>401036.10999996215</v>
      </c>
      <c r="M201" s="8">
        <f t="shared" si="94"/>
        <v>-364775.3200000003</v>
      </c>
      <c r="N201" s="8">
        <f t="shared" si="94"/>
        <v>4743560.2599999532</v>
      </c>
      <c r="O201" s="8">
        <f t="shared" si="94"/>
        <v>-610689.07999999821</v>
      </c>
      <c r="P201" s="8">
        <f t="shared" si="94"/>
        <v>2037197.1800000332</v>
      </c>
      <c r="Q201" s="8">
        <f t="shared" si="94"/>
        <v>5998157.9899999425</v>
      </c>
      <c r="R201" s="8">
        <f t="shared" si="94"/>
        <v>8425562.8100000098</v>
      </c>
      <c r="S201" s="8">
        <f t="shared" si="94"/>
        <v>-15781319.500000045</v>
      </c>
    </row>
    <row r="202" spans="1:19" ht="24" customHeight="1" x14ac:dyDescent="0.25">
      <c r="A202" s="29" t="s">
        <v>188</v>
      </c>
      <c r="B202" s="59" t="s">
        <v>259</v>
      </c>
      <c r="C202" s="60"/>
      <c r="D202" s="60"/>
      <c r="E202" s="60"/>
      <c r="F202" s="61"/>
      <c r="G202" s="7">
        <f t="shared" ref="G202" si="95">G203</f>
        <v>-6500000</v>
      </c>
      <c r="H202" s="7">
        <f t="shared" si="94"/>
        <v>-3545829.9899999984</v>
      </c>
      <c r="I202" s="7">
        <f t="shared" si="94"/>
        <v>-5819232.2100000009</v>
      </c>
      <c r="J202" s="7">
        <f t="shared" si="94"/>
        <v>-568202.76000000536</v>
      </c>
      <c r="K202" s="7">
        <f t="shared" si="94"/>
        <v>202019.07999999821</v>
      </c>
      <c r="L202" s="7">
        <f t="shared" si="94"/>
        <v>401036.10999996215</v>
      </c>
      <c r="M202" s="7">
        <f t="shared" si="94"/>
        <v>-364775.3200000003</v>
      </c>
      <c r="N202" s="7">
        <f t="shared" si="94"/>
        <v>4743560.2599999532</v>
      </c>
      <c r="O202" s="7">
        <f t="shared" si="94"/>
        <v>-610689.07999999821</v>
      </c>
      <c r="P202" s="7">
        <f t="shared" si="94"/>
        <v>2037197.1800000332</v>
      </c>
      <c r="Q202" s="7">
        <f t="shared" si="94"/>
        <v>5998157.9899999425</v>
      </c>
      <c r="R202" s="7">
        <f t="shared" si="94"/>
        <v>8425562.8100000098</v>
      </c>
      <c r="S202" s="7">
        <f>S203</f>
        <v>-15781319.500000045</v>
      </c>
    </row>
    <row r="203" spans="1:19" ht="33.75" x14ac:dyDescent="0.25">
      <c r="A203" s="30" t="s">
        <v>244</v>
      </c>
      <c r="B203" s="59" t="s">
        <v>258</v>
      </c>
      <c r="C203" s="60"/>
      <c r="D203" s="60"/>
      <c r="E203" s="60"/>
      <c r="F203" s="61"/>
      <c r="G203" s="7">
        <f t="shared" ref="G203:R203" si="96">G204+G207</f>
        <v>-6500000</v>
      </c>
      <c r="H203" s="7">
        <f t="shared" si="96"/>
        <v>-3545829.9899999984</v>
      </c>
      <c r="I203" s="7">
        <f t="shared" si="96"/>
        <v>-5819232.2100000009</v>
      </c>
      <c r="J203" s="7">
        <f t="shared" si="96"/>
        <v>-568202.76000000536</v>
      </c>
      <c r="K203" s="7">
        <f t="shared" si="96"/>
        <v>202019.07999999821</v>
      </c>
      <c r="L203" s="7">
        <f t="shared" si="96"/>
        <v>401036.10999996215</v>
      </c>
      <c r="M203" s="7">
        <f t="shared" si="96"/>
        <v>-364775.3200000003</v>
      </c>
      <c r="N203" s="7">
        <f t="shared" si="96"/>
        <v>4743560.2599999532</v>
      </c>
      <c r="O203" s="7">
        <f t="shared" si="96"/>
        <v>-610689.07999999821</v>
      </c>
      <c r="P203" s="7">
        <f t="shared" si="96"/>
        <v>2037197.1800000332</v>
      </c>
      <c r="Q203" s="7">
        <f t="shared" si="96"/>
        <v>5998157.9899999425</v>
      </c>
      <c r="R203" s="7">
        <f t="shared" si="96"/>
        <v>8425562.8100000098</v>
      </c>
      <c r="S203" s="7">
        <f>S204+S207</f>
        <v>-15781319.500000045</v>
      </c>
    </row>
    <row r="204" spans="1:19" ht="22.5" x14ac:dyDescent="0.25">
      <c r="A204" s="30" t="s">
        <v>245</v>
      </c>
      <c r="B204" s="59" t="s">
        <v>257</v>
      </c>
      <c r="C204" s="60"/>
      <c r="D204" s="60"/>
      <c r="E204" s="60"/>
      <c r="F204" s="61"/>
      <c r="G204" s="7">
        <f t="shared" ref="G204:R204" si="97">G205</f>
        <v>-509376818.11000001</v>
      </c>
      <c r="H204" s="7">
        <f t="shared" si="97"/>
        <v>-33883394.68</v>
      </c>
      <c r="I204" s="7">
        <f t="shared" si="97"/>
        <v>-42568399.399999999</v>
      </c>
      <c r="J204" s="7">
        <f t="shared" si="97"/>
        <v>-38854288.200000003</v>
      </c>
      <c r="K204" s="7">
        <f t="shared" si="97"/>
        <v>-44736119.879999995</v>
      </c>
      <c r="L204" s="7">
        <f t="shared" si="97"/>
        <v>-48230918.810000032</v>
      </c>
      <c r="M204" s="7">
        <f t="shared" si="97"/>
        <v>-46248655.289999999</v>
      </c>
      <c r="N204" s="7">
        <f t="shared" si="97"/>
        <v>-31773030.890000045</v>
      </c>
      <c r="O204" s="7">
        <f t="shared" si="97"/>
        <v>-26126155.780000001</v>
      </c>
      <c r="P204" s="7">
        <f t="shared" si="97"/>
        <v>-30214484.169999965</v>
      </c>
      <c r="Q204" s="7">
        <f t="shared" si="97"/>
        <v>-40888976.120000057</v>
      </c>
      <c r="R204" s="7">
        <f t="shared" si="97"/>
        <v>-35569328.999999993</v>
      </c>
      <c r="S204" s="7">
        <f>S205</f>
        <v>-82967148.160000041</v>
      </c>
    </row>
    <row r="205" spans="1:19" ht="22.5" x14ac:dyDescent="0.25">
      <c r="A205" s="30" t="s">
        <v>247</v>
      </c>
      <c r="B205" s="59" t="s">
        <v>255</v>
      </c>
      <c r="C205" s="60"/>
      <c r="D205" s="60"/>
      <c r="E205" s="60"/>
      <c r="F205" s="61"/>
      <c r="G205" s="7">
        <f t="shared" ref="G205:R205" si="98">G206</f>
        <v>-509376818.11000001</v>
      </c>
      <c r="H205" s="7">
        <f t="shared" si="98"/>
        <v>-33883394.68</v>
      </c>
      <c r="I205" s="7">
        <f t="shared" si="98"/>
        <v>-42568399.399999999</v>
      </c>
      <c r="J205" s="7">
        <f t="shared" si="98"/>
        <v>-38854288.200000003</v>
      </c>
      <c r="K205" s="7">
        <f t="shared" si="98"/>
        <v>-44736119.879999995</v>
      </c>
      <c r="L205" s="7">
        <f t="shared" si="98"/>
        <v>-48230918.810000032</v>
      </c>
      <c r="M205" s="7">
        <f t="shared" si="98"/>
        <v>-46248655.289999999</v>
      </c>
      <c r="N205" s="7">
        <f t="shared" si="98"/>
        <v>-31773030.890000045</v>
      </c>
      <c r="O205" s="7">
        <f t="shared" si="98"/>
        <v>-26126155.780000001</v>
      </c>
      <c r="P205" s="7">
        <f t="shared" si="98"/>
        <v>-30214484.169999965</v>
      </c>
      <c r="Q205" s="7">
        <f t="shared" si="98"/>
        <v>-40888976.120000057</v>
      </c>
      <c r="R205" s="7">
        <f t="shared" si="98"/>
        <v>-35569328.999999993</v>
      </c>
      <c r="S205" s="7">
        <f>S206</f>
        <v>-82967148.160000041</v>
      </c>
    </row>
    <row r="206" spans="1:19" ht="24" customHeight="1" x14ac:dyDescent="0.25">
      <c r="A206" s="30" t="s">
        <v>248</v>
      </c>
      <c r="B206" s="59" t="s">
        <v>254</v>
      </c>
      <c r="C206" s="60"/>
      <c r="D206" s="60"/>
      <c r="E206" s="60"/>
      <c r="F206" s="61"/>
      <c r="G206" s="7">
        <f t="shared" ref="G206:R206" si="99">-G199</f>
        <v>-509376818.11000001</v>
      </c>
      <c r="H206" s="7">
        <f t="shared" si="99"/>
        <v>-33883394.68</v>
      </c>
      <c r="I206" s="7">
        <f t="shared" si="99"/>
        <v>-42568399.399999999</v>
      </c>
      <c r="J206" s="7">
        <f t="shared" si="99"/>
        <v>-38854288.200000003</v>
      </c>
      <c r="K206" s="7">
        <f t="shared" si="99"/>
        <v>-44736119.879999995</v>
      </c>
      <c r="L206" s="7">
        <f t="shared" si="99"/>
        <v>-48230918.810000032</v>
      </c>
      <c r="M206" s="7">
        <f t="shared" si="99"/>
        <v>-46248655.289999999</v>
      </c>
      <c r="N206" s="7">
        <f t="shared" si="99"/>
        <v>-31773030.890000045</v>
      </c>
      <c r="O206" s="7">
        <f t="shared" si="99"/>
        <v>-26126155.780000001</v>
      </c>
      <c r="P206" s="7">
        <f t="shared" si="99"/>
        <v>-30214484.169999965</v>
      </c>
      <c r="Q206" s="7">
        <f t="shared" si="99"/>
        <v>-40888976.120000057</v>
      </c>
      <c r="R206" s="7">
        <f t="shared" si="99"/>
        <v>-35569328.999999993</v>
      </c>
      <c r="S206" s="7">
        <f>-S199</f>
        <v>-82967148.160000041</v>
      </c>
    </row>
    <row r="207" spans="1:19" ht="30" customHeight="1" x14ac:dyDescent="0.25">
      <c r="A207" s="30" t="s">
        <v>246</v>
      </c>
      <c r="B207" s="59" t="s">
        <v>256</v>
      </c>
      <c r="C207" s="60"/>
      <c r="D207" s="60"/>
      <c r="E207" s="60"/>
      <c r="F207" s="61"/>
      <c r="G207" s="7">
        <f t="shared" ref="G207:R207" si="100">G208</f>
        <v>502876818.11000001</v>
      </c>
      <c r="H207" s="7">
        <f t="shared" si="100"/>
        <v>30337564.690000001</v>
      </c>
      <c r="I207" s="7">
        <f t="shared" si="100"/>
        <v>36749167.189999998</v>
      </c>
      <c r="J207" s="7">
        <f t="shared" si="100"/>
        <v>38286085.439999998</v>
      </c>
      <c r="K207" s="7">
        <f t="shared" si="100"/>
        <v>44938138.959999993</v>
      </c>
      <c r="L207" s="7">
        <f t="shared" si="100"/>
        <v>48631954.919999994</v>
      </c>
      <c r="M207" s="7">
        <f t="shared" si="100"/>
        <v>45883879.969999999</v>
      </c>
      <c r="N207" s="7">
        <f t="shared" si="100"/>
        <v>36516591.149999999</v>
      </c>
      <c r="O207" s="7">
        <f t="shared" si="100"/>
        <v>25515466.700000003</v>
      </c>
      <c r="P207" s="7">
        <f t="shared" si="100"/>
        <v>32251681.349999998</v>
      </c>
      <c r="Q207" s="7">
        <f t="shared" si="100"/>
        <v>46887134.109999999</v>
      </c>
      <c r="R207" s="7">
        <f t="shared" si="100"/>
        <v>43994891.810000002</v>
      </c>
      <c r="S207" s="7">
        <f>S208</f>
        <v>67185828.659999996</v>
      </c>
    </row>
    <row r="208" spans="1:19" ht="24" customHeight="1" x14ac:dyDescent="0.25">
      <c r="A208" s="30" t="s">
        <v>249</v>
      </c>
      <c r="B208" s="59" t="s">
        <v>253</v>
      </c>
      <c r="C208" s="60"/>
      <c r="D208" s="60"/>
      <c r="E208" s="60"/>
      <c r="F208" s="61"/>
      <c r="G208" s="7">
        <f t="shared" ref="G208:R208" si="101">G209</f>
        <v>502876818.11000001</v>
      </c>
      <c r="H208" s="7">
        <f t="shared" si="101"/>
        <v>30337564.690000001</v>
      </c>
      <c r="I208" s="7">
        <f t="shared" si="101"/>
        <v>36749167.189999998</v>
      </c>
      <c r="J208" s="7">
        <f t="shared" si="101"/>
        <v>38286085.439999998</v>
      </c>
      <c r="K208" s="7">
        <f t="shared" si="101"/>
        <v>44938138.959999993</v>
      </c>
      <c r="L208" s="7">
        <f t="shared" si="101"/>
        <v>48631954.919999994</v>
      </c>
      <c r="M208" s="7">
        <f t="shared" si="101"/>
        <v>45883879.969999999</v>
      </c>
      <c r="N208" s="7">
        <f t="shared" si="101"/>
        <v>36516591.149999999</v>
      </c>
      <c r="O208" s="7">
        <f t="shared" si="101"/>
        <v>25515466.700000003</v>
      </c>
      <c r="P208" s="7">
        <f t="shared" si="101"/>
        <v>32251681.349999998</v>
      </c>
      <c r="Q208" s="7">
        <f t="shared" si="101"/>
        <v>46887134.109999999</v>
      </c>
      <c r="R208" s="7">
        <f t="shared" si="101"/>
        <v>43994891.810000002</v>
      </c>
      <c r="S208" s="7">
        <f>S209</f>
        <v>67185828.659999996</v>
      </c>
    </row>
    <row r="209" spans="1:19" ht="34.5" customHeight="1" x14ac:dyDescent="0.25">
      <c r="A209" s="31" t="s">
        <v>250</v>
      </c>
      <c r="B209" s="59" t="s">
        <v>252</v>
      </c>
      <c r="C209" s="60"/>
      <c r="D209" s="60"/>
      <c r="E209" s="60"/>
      <c r="F209" s="61"/>
      <c r="G209" s="7">
        <f t="shared" ref="G209:R209" si="102">G142</f>
        <v>502876818.11000001</v>
      </c>
      <c r="H209" s="7">
        <f t="shared" si="102"/>
        <v>30337564.690000001</v>
      </c>
      <c r="I209" s="7">
        <f t="shared" si="102"/>
        <v>36749167.189999998</v>
      </c>
      <c r="J209" s="7">
        <f t="shared" si="102"/>
        <v>38286085.439999998</v>
      </c>
      <c r="K209" s="7">
        <f t="shared" si="102"/>
        <v>44938138.959999993</v>
      </c>
      <c r="L209" s="7">
        <f t="shared" si="102"/>
        <v>48631954.919999994</v>
      </c>
      <c r="M209" s="7">
        <f t="shared" si="102"/>
        <v>45883879.969999999</v>
      </c>
      <c r="N209" s="7">
        <f t="shared" si="102"/>
        <v>36516591.149999999</v>
      </c>
      <c r="O209" s="7">
        <f t="shared" si="102"/>
        <v>25515466.700000003</v>
      </c>
      <c r="P209" s="7">
        <f t="shared" si="102"/>
        <v>32251681.349999998</v>
      </c>
      <c r="Q209" s="7">
        <f t="shared" si="102"/>
        <v>46887134.109999999</v>
      </c>
      <c r="R209" s="7">
        <f t="shared" si="102"/>
        <v>43994891.810000002</v>
      </c>
      <c r="S209" s="7">
        <f>S142</f>
        <v>67185828.659999996</v>
      </c>
    </row>
    <row r="210" spans="1:19" ht="46.5" customHeight="1" x14ac:dyDescent="0.25">
      <c r="A210" s="26" t="s">
        <v>57</v>
      </c>
      <c r="B210" s="62" t="s">
        <v>260</v>
      </c>
      <c r="C210" s="52"/>
      <c r="D210" s="52"/>
      <c r="E210" s="52"/>
      <c r="F210" s="53"/>
      <c r="G210" s="7">
        <f>G202</f>
        <v>-6500000</v>
      </c>
      <c r="H210" s="7">
        <f t="shared" ref="H210:S210" si="103">H202</f>
        <v>-3545829.9899999984</v>
      </c>
      <c r="I210" s="7">
        <f t="shared" si="103"/>
        <v>-5819232.2100000009</v>
      </c>
      <c r="J210" s="7">
        <f t="shared" si="103"/>
        <v>-568202.76000000536</v>
      </c>
      <c r="K210" s="7">
        <f t="shared" si="103"/>
        <v>202019.07999999821</v>
      </c>
      <c r="L210" s="7">
        <f t="shared" si="103"/>
        <v>401036.10999996215</v>
      </c>
      <c r="M210" s="7">
        <f t="shared" si="103"/>
        <v>-364775.3200000003</v>
      </c>
      <c r="N210" s="7">
        <f t="shared" si="103"/>
        <v>4743560.2599999532</v>
      </c>
      <c r="O210" s="7">
        <f t="shared" si="103"/>
        <v>-610689.07999999821</v>
      </c>
      <c r="P210" s="7">
        <f t="shared" si="103"/>
        <v>2037197.1800000332</v>
      </c>
      <c r="Q210" s="7">
        <f t="shared" si="103"/>
        <v>5998157.9899999425</v>
      </c>
      <c r="R210" s="7">
        <f t="shared" si="103"/>
        <v>8425562.8100000098</v>
      </c>
      <c r="S210" s="7">
        <f t="shared" si="103"/>
        <v>-15781319.500000045</v>
      </c>
    </row>
    <row r="211" spans="1:19" ht="24.75" customHeight="1" x14ac:dyDescent="0.25">
      <c r="A211" s="26" t="s">
        <v>58</v>
      </c>
      <c r="B211" s="62" t="s">
        <v>260</v>
      </c>
      <c r="C211" s="52"/>
      <c r="D211" s="52"/>
      <c r="E211" s="52"/>
      <c r="F211" s="53"/>
      <c r="G211" s="7">
        <f>G200+G201</f>
        <v>502876818.11000001</v>
      </c>
      <c r="H211" s="7">
        <f t="shared" ref="H211:S211" si="104">H200+H201</f>
        <v>30337564.690000001</v>
      </c>
      <c r="I211" s="7">
        <f t="shared" si="104"/>
        <v>36749167.189999998</v>
      </c>
      <c r="J211" s="7">
        <f t="shared" si="104"/>
        <v>38286085.439999998</v>
      </c>
      <c r="K211" s="7">
        <f t="shared" si="104"/>
        <v>44938138.959999993</v>
      </c>
      <c r="L211" s="7">
        <f t="shared" si="104"/>
        <v>48631954.919999994</v>
      </c>
      <c r="M211" s="7">
        <f t="shared" si="104"/>
        <v>45883879.969999999</v>
      </c>
      <c r="N211" s="7">
        <f t="shared" si="104"/>
        <v>36516591.149999999</v>
      </c>
      <c r="O211" s="7">
        <f t="shared" si="104"/>
        <v>25515466.700000003</v>
      </c>
      <c r="P211" s="7">
        <f t="shared" si="104"/>
        <v>32251681.349999998</v>
      </c>
      <c r="Q211" s="7">
        <f t="shared" si="104"/>
        <v>46887134.109999999</v>
      </c>
      <c r="R211" s="7">
        <f t="shared" si="104"/>
        <v>43994891.810000002</v>
      </c>
      <c r="S211" s="7">
        <f t="shared" si="104"/>
        <v>67185828.659999996</v>
      </c>
    </row>
    <row r="212" spans="1:19" ht="6" customHeight="1" x14ac:dyDescent="0.25">
      <c r="A212" s="26"/>
      <c r="B212" s="62"/>
      <c r="C212" s="52"/>
      <c r="D212" s="52"/>
      <c r="E212" s="52"/>
      <c r="F212" s="53"/>
      <c r="G212" s="16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 ht="33.75" x14ac:dyDescent="0.25">
      <c r="A213" s="26" t="s">
        <v>59</v>
      </c>
      <c r="B213" s="62" t="s">
        <v>260</v>
      </c>
      <c r="C213" s="52"/>
      <c r="D213" s="52"/>
      <c r="E213" s="52"/>
      <c r="F213" s="53"/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</row>
    <row r="214" spans="1:19" x14ac:dyDescent="0.25">
      <c r="B214" s="33"/>
      <c r="C214" s="33"/>
      <c r="D214" s="33"/>
      <c r="E214" s="33"/>
      <c r="F214" s="33"/>
    </row>
    <row r="215" spans="1:19" x14ac:dyDescent="0.25">
      <c r="B215" s="33"/>
      <c r="C215" s="33"/>
      <c r="D215" s="33"/>
      <c r="E215" s="33"/>
      <c r="F215" s="33"/>
    </row>
    <row r="216" spans="1:19" x14ac:dyDescent="0.25">
      <c r="A216" s="65" t="s">
        <v>60</v>
      </c>
      <c r="B216" s="65"/>
      <c r="C216" s="65"/>
      <c r="D216" s="65"/>
      <c r="E216" s="65"/>
      <c r="F216" s="54" t="s">
        <v>61</v>
      </c>
      <c r="G216" s="54"/>
      <c r="H216" s="54"/>
      <c r="N216" s="9" t="s">
        <v>62</v>
      </c>
    </row>
    <row r="217" spans="1:19" x14ac:dyDescent="0.25">
      <c r="B217" s="33"/>
      <c r="C217" s="33"/>
      <c r="D217" s="33"/>
      <c r="E217" s="33"/>
      <c r="F217" s="54" t="s">
        <v>63</v>
      </c>
      <c r="G217" s="54"/>
      <c r="H217" s="54"/>
      <c r="N217" s="9" t="s">
        <v>251</v>
      </c>
    </row>
    <row r="218" spans="1:19" x14ac:dyDescent="0.25">
      <c r="A218" s="32" t="s">
        <v>64</v>
      </c>
    </row>
  </sheetData>
  <mergeCells count="178">
    <mergeCell ref="B85:F85"/>
    <mergeCell ref="B86:F86"/>
    <mergeCell ref="B109:F109"/>
    <mergeCell ref="B110:F110"/>
    <mergeCell ref="B111:F111"/>
    <mergeCell ref="B104:F104"/>
    <mergeCell ref="B105:F105"/>
    <mergeCell ref="B106:F106"/>
    <mergeCell ref="B107:F107"/>
    <mergeCell ref="B108:F108"/>
    <mergeCell ref="B97:F97"/>
    <mergeCell ref="B100:F100"/>
    <mergeCell ref="B101:F101"/>
    <mergeCell ref="B102:F102"/>
    <mergeCell ref="B98:F98"/>
    <mergeCell ref="B103:F103"/>
    <mergeCell ref="A5:S5"/>
    <mergeCell ref="A1:S1"/>
    <mergeCell ref="A2:S2"/>
    <mergeCell ref="A3:S3"/>
    <mergeCell ref="G7:G9"/>
    <mergeCell ref="A7:A9"/>
    <mergeCell ref="H7:J7"/>
    <mergeCell ref="K7:M7"/>
    <mergeCell ref="N7:P7"/>
    <mergeCell ref="Q7:S7"/>
    <mergeCell ref="H8:H9"/>
    <mergeCell ref="I8:I9"/>
    <mergeCell ref="J8:J9"/>
    <mergeCell ref="K8:K9"/>
    <mergeCell ref="R8:R9"/>
    <mergeCell ref="S8:S9"/>
    <mergeCell ref="A6:S6"/>
    <mergeCell ref="L8:L9"/>
    <mergeCell ref="M8:M9"/>
    <mergeCell ref="N8:N9"/>
    <mergeCell ref="O8:O9"/>
    <mergeCell ref="P8:P9"/>
    <mergeCell ref="P4:S4"/>
    <mergeCell ref="A12:S12"/>
    <mergeCell ref="Q8:Q9"/>
    <mergeCell ref="B7:F9"/>
    <mergeCell ref="A10:S10"/>
    <mergeCell ref="A11:S11"/>
    <mergeCell ref="B30:F30"/>
    <mergeCell ref="B31:F31"/>
    <mergeCell ref="B32:F32"/>
    <mergeCell ref="B33:F33"/>
    <mergeCell ref="B18:F18"/>
    <mergeCell ref="B19:F19"/>
    <mergeCell ref="B20:F20"/>
    <mergeCell ref="B21:F21"/>
    <mergeCell ref="B22:F22"/>
    <mergeCell ref="B13:F13"/>
    <mergeCell ref="B14:F14"/>
    <mergeCell ref="B15:F15"/>
    <mergeCell ref="B16:F16"/>
    <mergeCell ref="B17:F17"/>
    <mergeCell ref="B34:F34"/>
    <mergeCell ref="B23:F23"/>
    <mergeCell ref="B24:F24"/>
    <mergeCell ref="B25:F25"/>
    <mergeCell ref="B26:F26"/>
    <mergeCell ref="B27:F27"/>
    <mergeCell ref="B40:F40"/>
    <mergeCell ref="B41:F41"/>
    <mergeCell ref="B42:F42"/>
    <mergeCell ref="B28:F28"/>
    <mergeCell ref="B29:F29"/>
    <mergeCell ref="B62:F62"/>
    <mergeCell ref="B48:F48"/>
    <mergeCell ref="B49:F49"/>
    <mergeCell ref="B43:F43"/>
    <mergeCell ref="B44:F44"/>
    <mergeCell ref="B35:F35"/>
    <mergeCell ref="B36:F36"/>
    <mergeCell ref="B37:F37"/>
    <mergeCell ref="B38:F38"/>
    <mergeCell ref="B39:F39"/>
    <mergeCell ref="B52:F52"/>
    <mergeCell ref="B53:F53"/>
    <mergeCell ref="B57:F57"/>
    <mergeCell ref="B58:F58"/>
    <mergeCell ref="B59:F59"/>
    <mergeCell ref="B60:F60"/>
    <mergeCell ref="B61:F61"/>
    <mergeCell ref="B54:F54"/>
    <mergeCell ref="B55:F55"/>
    <mergeCell ref="B56:F56"/>
    <mergeCell ref="B45:F45"/>
    <mergeCell ref="B46:F46"/>
    <mergeCell ref="B47:F47"/>
    <mergeCell ref="B50:F50"/>
    <mergeCell ref="B51:F51"/>
    <mergeCell ref="B126:F126"/>
    <mergeCell ref="B127:F127"/>
    <mergeCell ref="B128:F128"/>
    <mergeCell ref="B129:F129"/>
    <mergeCell ref="B130:F130"/>
    <mergeCell ref="B131:F131"/>
    <mergeCell ref="B133:F133"/>
    <mergeCell ref="B63:F63"/>
    <mergeCell ref="B64:F64"/>
    <mergeCell ref="B65:F65"/>
    <mergeCell ref="B66:F66"/>
    <mergeCell ref="B87:F87"/>
    <mergeCell ref="B88:F88"/>
    <mergeCell ref="B89:F89"/>
    <mergeCell ref="B90:F90"/>
    <mergeCell ref="B91:F91"/>
    <mergeCell ref="B77:F77"/>
    <mergeCell ref="B78:F78"/>
    <mergeCell ref="B79:F79"/>
    <mergeCell ref="B80:F80"/>
    <mergeCell ref="B81:F81"/>
    <mergeCell ref="B82:F82"/>
    <mergeCell ref="B83:F83"/>
    <mergeCell ref="B84:F84"/>
    <mergeCell ref="B142:F142"/>
    <mergeCell ref="B202:F202"/>
    <mergeCell ref="B203:F203"/>
    <mergeCell ref="B199:F199"/>
    <mergeCell ref="B200:F200"/>
    <mergeCell ref="B201:F201"/>
    <mergeCell ref="B137:F137"/>
    <mergeCell ref="A216:E216"/>
    <mergeCell ref="F216:H216"/>
    <mergeCell ref="B138:F138"/>
    <mergeCell ref="B139:F139"/>
    <mergeCell ref="B140:F140"/>
    <mergeCell ref="B141:F141"/>
    <mergeCell ref="F217:H217"/>
    <mergeCell ref="A143:S143"/>
    <mergeCell ref="A144:S144"/>
    <mergeCell ref="B209:F209"/>
    <mergeCell ref="B210:F210"/>
    <mergeCell ref="B211:F211"/>
    <mergeCell ref="B212:F212"/>
    <mergeCell ref="B213:F213"/>
    <mergeCell ref="B204:F204"/>
    <mergeCell ref="B207:F207"/>
    <mergeCell ref="B205:F205"/>
    <mergeCell ref="B206:F206"/>
    <mergeCell ref="B208:F208"/>
    <mergeCell ref="B93:F93"/>
    <mergeCell ref="B92:F92"/>
    <mergeCell ref="B94:F94"/>
    <mergeCell ref="B95:F95"/>
    <mergeCell ref="B96:F96"/>
    <mergeCell ref="B132:F132"/>
    <mergeCell ref="B99:F99"/>
    <mergeCell ref="A136:S136"/>
    <mergeCell ref="B117:F117"/>
    <mergeCell ref="B118:F118"/>
    <mergeCell ref="B119:F119"/>
    <mergeCell ref="B120:F120"/>
    <mergeCell ref="B121:F121"/>
    <mergeCell ref="B112:F112"/>
    <mergeCell ref="B113:F113"/>
    <mergeCell ref="B114:F114"/>
    <mergeCell ref="B115:F115"/>
    <mergeCell ref="B116:F116"/>
    <mergeCell ref="B125:F125"/>
    <mergeCell ref="B134:F134"/>
    <mergeCell ref="B135:F135"/>
    <mergeCell ref="B122:F122"/>
    <mergeCell ref="B123:F123"/>
    <mergeCell ref="B124:F124"/>
    <mergeCell ref="B72:F72"/>
    <mergeCell ref="B73:F73"/>
    <mergeCell ref="B74:F74"/>
    <mergeCell ref="B75:F75"/>
    <mergeCell ref="B76:F76"/>
    <mergeCell ref="B67:F67"/>
    <mergeCell ref="B68:F68"/>
    <mergeCell ref="B69:F69"/>
    <mergeCell ref="B70:F70"/>
    <mergeCell ref="B71:F71"/>
  </mergeCells>
  <pageMargins left="0.78740157480314965" right="0.19685039370078741" top="0.19685039370078741" bottom="0.19685039370078741" header="0" footer="0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01.01.2020</vt:lpstr>
      <vt:lpstr>'на 01.01.2020'!Область_печати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2020-03-12T06:24:31Z</cp:lastPrinted>
  <dcterms:created xsi:type="dcterms:W3CDTF">2020-01-20T14:38:19Z</dcterms:created>
  <dcterms:modified xsi:type="dcterms:W3CDTF">2020-03-12T06:24:32Z</dcterms:modified>
</cp:coreProperties>
</file>