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20" windowHeight="8016" activeTab="8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'МИТО'!$5:$6</definedName>
    <definedName name="_xlnm.Print_Titles" localSheetId="3">'мм'!$5:$6</definedName>
    <definedName name="_xlnm.Print_Titles" localSheetId="2">'модернизация'!$5:$6</definedName>
    <definedName name="_xlnm.Print_Titles" localSheetId="4">'Молодежная политика'!$5:$6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РО'!$A$1:$I$28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'модернизация'!$A$1:$Q$45</definedName>
    <definedName name="_xlnm.Print_Area" localSheetId="11">'Стр.2 модернизация (2)'!$A$1:$Q$173</definedName>
  </definedNames>
  <calcPr fullCalcOnLoad="1" refMode="R1C1"/>
</workbook>
</file>

<file path=xl/sharedStrings.xml><?xml version="1.0" encoding="utf-8"?>
<sst xmlns="http://schemas.openxmlformats.org/spreadsheetml/2006/main" count="1893" uniqueCount="492">
  <si>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</si>
  <si>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</si>
  <si>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</si>
  <si>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</si>
  <si>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</si>
  <si>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</si>
  <si>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</si>
  <si>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</si>
  <si>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</si>
  <si>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</si>
  <si>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</si>
  <si>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</si>
  <si>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</si>
  <si>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</si>
  <si>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</si>
  <si>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</si>
  <si>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</si>
  <si>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</si>
  <si>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</si>
  <si>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</si>
  <si>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</si>
  <si>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</si>
  <si>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</si>
  <si>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</si>
  <si>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</si>
  <si>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</si>
  <si>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</si>
  <si>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</si>
  <si>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</si>
  <si>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</si>
  <si>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</si>
  <si>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</si>
  <si>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</si>
  <si>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</si>
  <si>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</si>
  <si>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</si>
  <si>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</si>
  <si>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</si>
  <si>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</si>
  <si>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</si>
  <si>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</si>
  <si>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</si>
  <si>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</si>
  <si>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</si>
  <si>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</si>
  <si>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</si>
  <si>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</si>
  <si>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</si>
  <si>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</si>
  <si>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</si>
  <si>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</si>
  <si>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</si>
  <si>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</si>
  <si>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</si>
  <si>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</si>
  <si>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</si>
  <si>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</si>
  <si>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</si>
  <si>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</si>
  <si>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</si>
  <si>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</si>
  <si>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</si>
  <si>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</si>
  <si>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</si>
  <si>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</si>
  <si>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</si>
  <si>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</si>
  <si>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</si>
  <si>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</si>
  <si>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</si>
  <si>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</si>
  <si>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</si>
  <si>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</si>
  <si>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</si>
  <si>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</si>
  <si>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</si>
  <si>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</si>
  <si>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</si>
  <si>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</si>
  <si>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</si>
  <si>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</si>
  <si>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</si>
  <si>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</si>
  <si>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</si>
  <si>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</si>
  <si>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</si>
  <si>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</si>
  <si>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</si>
  <si>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</si>
  <si>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</si>
  <si>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</si>
  <si>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</si>
  <si>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</si>
  <si>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</si>
  <si>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</si>
  <si>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</si>
  <si>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</si>
  <si>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</si>
  <si>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</si>
  <si>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</si>
  <si>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</si>
  <si>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</si>
  <si>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</si>
  <si>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</si>
  <si>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</si>
  <si>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</si>
  <si>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</si>
  <si>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</si>
  <si>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</si>
  <si>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</si>
  <si>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</si>
  <si>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</si>
  <si>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</si>
  <si>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</si>
  <si>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</si>
  <si>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</si>
  <si>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</si>
  <si>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</si>
  <si>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</si>
  <si>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</si>
  <si>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</si>
  <si>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</si>
  <si>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</si>
  <si>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</si>
  <si>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</si>
  <si>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</si>
  <si>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</si>
  <si>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</si>
  <si>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</si>
  <si>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</si>
  <si>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</si>
  <si>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</si>
  <si>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</si>
  <si>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</si>
  <si>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</si>
  <si>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</si>
  <si>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</si>
  <si>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</si>
  <si>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</si>
  <si>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</si>
  <si>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</si>
  <si>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</si>
  <si>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</si>
  <si>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</si>
  <si>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</si>
  <si>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</si>
  <si>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</si>
  <si>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</si>
  <si>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</si>
  <si>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</si>
  <si>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</si>
  <si>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</si>
  <si>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</si>
  <si>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</si>
  <si>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</si>
  <si>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</si>
  <si>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</si>
  <si>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</si>
  <si>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</si>
  <si>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</si>
  <si>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</si>
  <si>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</si>
  <si>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</si>
  <si>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</si>
  <si>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</si>
  <si>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</si>
  <si>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</si>
  <si>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</si>
  <si>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</si>
  <si>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</si>
  <si>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</si>
  <si>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</si>
  <si>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</si>
  <si>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</si>
  <si>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</si>
  <si>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</si>
  <si>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</si>
  <si>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</si>
  <si>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</si>
  <si>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</si>
  <si>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</si>
  <si>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</si>
  <si>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</si>
  <si>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</si>
  <si>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</si>
  <si>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</si>
  <si>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</si>
  <si>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</si>
  <si>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</si>
  <si>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</si>
  <si>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</si>
  <si>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</si>
  <si>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</si>
  <si>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</si>
  <si>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</si>
  <si>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</si>
  <si>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</si>
  <si>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</si>
  <si>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</si>
  <si>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</si>
  <si>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</si>
  <si>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</si>
  <si>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</si>
  <si>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</si>
  <si>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</si>
  <si>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</si>
  <si>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</si>
  <si>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</si>
  <si>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</si>
  <si>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</si>
  <si>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</si>
  <si>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</si>
  <si>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</si>
  <si>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</si>
  <si>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</si>
  <si>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</si>
  <si>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</si>
  <si>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</si>
  <si>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</si>
  <si>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</si>
  <si>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</si>
  <si>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</si>
  <si>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</si>
  <si>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</si>
  <si>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</si>
  <si>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</si>
  <si>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</si>
  <si>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</si>
  <si>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</si>
  <si>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</si>
  <si>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</si>
  <si>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</si>
  <si>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</si>
  <si>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</si>
  <si>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</si>
  <si>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</si>
  <si>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</si>
  <si>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</si>
  <si>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</si>
  <si>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</si>
  <si>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</si>
  <si>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</si>
  <si>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</si>
  <si>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</si>
  <si>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</si>
  <si>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</si>
  <si>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</si>
  <si>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</si>
  <si>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</si>
  <si>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</si>
  <si>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</si>
  <si>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</si>
  <si>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</si>
  <si>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</si>
  <si>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</si>
  <si>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</si>
  <si>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</si>
  <si>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</si>
  <si>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</si>
  <si>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</si>
  <si>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</si>
  <si>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</si>
  <si>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</si>
  <si>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</si>
  <si>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</si>
  <si>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</si>
  <si>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</si>
  <si>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</si>
  <si>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</si>
  <si>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</si>
  <si>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</si>
  <si>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</si>
  <si>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</si>
  <si>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</si>
  <si>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</si>
  <si>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</si>
  <si>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</si>
  <si>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</si>
  <si>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</si>
  <si>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</si>
  <si>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</si>
  <si>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</si>
  <si>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</si>
  <si>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</si>
  <si>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</si>
  <si>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</si>
  <si>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</si>
  <si>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</si>
  <si>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</si>
  <si>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</si>
  <si>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</si>
  <si>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</si>
  <si>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</si>
  <si>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</si>
  <si>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</si>
  <si>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</si>
  <si>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</si>
  <si>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</si>
  <si>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</si>
  <si>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</si>
  <si>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</si>
  <si>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</si>
  <si>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</si>
  <si>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</si>
  <si>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</si>
  <si>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</si>
  <si>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______________№________)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</si>
  <si>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</si>
  <si>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</si>
  <si>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</si>
  <si>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</si>
  <si>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</si>
  <si>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</si>
  <si>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</si>
  <si>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</si>
  <si>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</si>
  <si>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</si>
  <si>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</si>
  <si>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</si>
  <si>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</si>
  <si>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</si>
  <si>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</si>
  <si>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</si>
  <si>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</si>
  <si>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</si>
  <si>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</si>
  <si>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</si>
  <si>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</si>
  <si>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</si>
  <si>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</si>
  <si>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</si>
  <si>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</si>
  <si>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</si>
  <si>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</si>
  <si>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</si>
  <si>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</si>
  <si>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</si>
  <si>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</si>
  <si>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</si>
  <si>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</si>
  <si>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</si>
  <si>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</si>
  <si>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</si>
  <si>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</si>
  <si>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</si>
  <si>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</si>
  <si>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</si>
  <si>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</si>
  <si>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</si>
  <si>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</si>
  <si>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</si>
  <si>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</si>
  <si>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</si>
  <si>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</si>
  <si>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</si>
  <si>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</si>
  <si>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</si>
  <si>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</si>
  <si>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</si>
  <si>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</si>
  <si>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</si>
  <si>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</si>
  <si>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</si>
  <si>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</si>
  <si>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</si>
  <si>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</si>
  <si>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</si>
  <si>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</si>
  <si>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</si>
  <si>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</si>
  <si>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</si>
  <si>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</si>
  <si>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</si>
  <si>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</si>
  <si>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</si>
  <si>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</si>
  <si>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</si>
  <si>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</si>
  <si>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</si>
  <si>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</si>
  <si>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</si>
  <si>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</si>
  <si>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</si>
  <si>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</si>
  <si>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</si>
  <si>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</si>
  <si>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</si>
  <si>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</si>
  <si>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</si>
  <si>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</si>
  <si>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</si>
  <si>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№606)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</si>
  <si>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</si>
  <si>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</si>
  <si>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</si>
  <si>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</si>
  <si>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</si>
  <si>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</si>
  <si>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</si>
  <si>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</si>
  <si>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</si>
  <si>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</si>
  <si>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</si>
  <si>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</si>
  <si>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</si>
  <si>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</si>
  <si>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</si>
  <si>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</si>
  <si>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</si>
  <si>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</si>
  <si>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</si>
  <si>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</si>
  <si>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</si>
  <si>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</si>
  <si>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</si>
  <si>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</si>
  <si>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</si>
  <si>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</si>
  <si>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</si>
  <si>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</si>
  <si>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</si>
  <si>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</si>
  <si>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</si>
  <si>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</si>
  <si>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</si>
  <si>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Полнота реализации общеобразовательных  программ дошкольного образования, %</t>
  </si>
  <si>
    <t>Полнота  реализации  индивидуально ориентированных образовательных  программ с учетом особенностей психофизического развития и индивидуальных возможностей воспитанников (детей-инвалидов), %</t>
  </si>
  <si>
    <t>Отсутствие нарушений, указанных в актах органов по надзору и контролю, %</t>
  </si>
  <si>
    <t>Уровень посещаемости МБДОУ воспитанниками, %</t>
  </si>
  <si>
    <t>Соответствие порядкам оказания медицинской помощи и на основе стандартов медицинской помощи, %</t>
  </si>
  <si>
    <t>Удовлетворенность потребителей в оказанной государственной услуге, %</t>
  </si>
  <si>
    <t>Доля обучающихся, освоивших основную общеобразовательную программу начального общего образования, в общей численности обучающихся, %</t>
  </si>
  <si>
    <t>Полнота реализации основной общеобразовательной программы начального общего образования, %</t>
  </si>
  <si>
    <t>МБОО ДОД Олимп ЗАТО Видяево</t>
  </si>
  <si>
    <t>Полнота реализации дополнительных общеразвивающих  программ, %</t>
  </si>
  <si>
    <t>Всего:    в т.ч. ОБ: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</si>
  <si>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</si>
  <si>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</si>
  <si>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</si>
  <si>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</si>
  <si>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</si>
  <si>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</si>
  <si>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88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</si>
  <si>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</si>
  <si>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86</t>
  </si>
  <si>
    <t>82</t>
  </si>
  <si>
    <t xml:space="preserve">ПЕРЕЧЕНЬ ОСНОВНЫХ МЕРОПРИЯТИЙ ПОДПРОГРАММЫ 
«Молодежная политика  ЗАТО  Видяево»
</t>
  </si>
  <si>
    <t xml:space="preserve">Приложение 
к Подпрограмме «Молодежная политика  ЗАТО  Видяево»  
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</si>
  <si>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____________________________№_______)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</si>
  <si>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________________________№______)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</si>
  <si>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</si>
  <si>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</si>
  <si>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</si>
  <si>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</si>
  <si>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</si>
  <si>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</si>
  <si>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</si>
  <si>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</si>
  <si>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</si>
  <si>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</si>
  <si>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Доля победителей и призеров от числа участников конкурсов муниципального, областного, регионального и всероссийского  уровней (%)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</si>
  <si>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</si>
  <si>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</si>
  <si>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</si>
  <si>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</si>
  <si>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</si>
  <si>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</si>
  <si>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</si>
  <si>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</si>
  <si>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</si>
  <si>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</si>
  <si>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</si>
  <si>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</si>
  <si>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  (%)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</si>
  <si>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 (%)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</si>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</sst>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.0"/>
    <numFmt numFmtId="171" formatCode="0.000"/>
    <numFmt numFmtId="172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sz val="8"/>
      <color rgb="FF333333"/>
      <name val="Times New Roman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0">
    <xf numFmtId="0" fontId="0" fillId="0" borderId="0" xfId="0" applyFont="1" applyAlignment="1">
      <alignment/>
    </xf>
    <xf numFmtId="0" fontId="56" fillId="0" borderId="0" xfId="0" applyFont="1" applyAlignment="1">
      <alignment readingOrder="1"/>
    </xf>
    <xf numFmtId="49" fontId="56" fillId="0" borderId="0" xfId="0" applyNumberFormat="1" applyFont="1" applyAlignment="1">
      <alignment readingOrder="1"/>
    </xf>
    <xf numFmtId="0" fontId="56" fillId="0" borderId="0" xfId="0" applyFont="1" applyAlignment="1">
      <alignment horizontal="center" readingOrder="1"/>
    </xf>
    <xf numFmtId="0" fontId="56" fillId="0" borderId="0" xfId="0" applyFont="1" applyAlignment="1">
      <alignment horizontal="left" readingOrder="1"/>
    </xf>
    <xf numFmtId="0" fontId="57" fillId="0" borderId="0" xfId="0" applyFont="1" applyAlignment="1">
      <alignment horizontal="left" readingOrder="1"/>
    </xf>
    <xf numFmtId="49" fontId="56" fillId="0" borderId="0" xfId="0" applyNumberFormat="1" applyFont="1" applyAlignment="1">
      <alignment horizontal="center" readingOrder="1"/>
    </xf>
    <xf numFmtId="49" fontId="57" fillId="0" borderId="0" xfId="0" applyNumberFormat="1" applyFont="1" applyAlignment="1">
      <alignment horizontal="center" readingOrder="1"/>
    </xf>
    <xf numFmtId="49" fontId="58" fillId="0" borderId="10" xfId="0" applyNumberFormat="1" applyFont="1" applyBorder="1" applyAlignment="1">
      <alignment horizontal="center" vertical="center" wrapText="1" readingOrder="1"/>
    </xf>
    <xf numFmtId="0" fontId="59" fillId="0" borderId="0" xfId="0" applyFont="1" applyAlignment="1">
      <alignment wrapText="1" readingOrder="1"/>
    </xf>
    <xf numFmtId="0" fontId="60" fillId="0" borderId="0" xfId="0" applyFont="1" applyAlignment="1">
      <alignment readingOrder="1"/>
    </xf>
    <xf numFmtId="0" fontId="59" fillId="0" borderId="0" xfId="0" applyFont="1" applyAlignment="1">
      <alignment readingOrder="1"/>
    </xf>
    <xf numFmtId="0" fontId="61" fillId="0" borderId="0" xfId="0" applyFont="1" applyAlignment="1">
      <alignment horizontal="right"/>
    </xf>
    <xf numFmtId="49" fontId="61" fillId="0" borderId="10" xfId="0" applyNumberFormat="1" applyFont="1" applyBorder="1" applyAlignment="1">
      <alignment horizontal="center" vertical="top" wrapText="1"/>
    </xf>
    <xf numFmtId="0" fontId="61" fillId="0" borderId="10" xfId="0" applyNumberFormat="1" applyFont="1" applyBorder="1" applyAlignment="1">
      <alignment horizontal="center" vertical="center" wrapText="1" readingOrder="1"/>
    </xf>
    <xf numFmtId="0" fontId="62" fillId="0" borderId="0" xfId="0" applyFont="1" applyAlignment="1">
      <alignment readingOrder="1"/>
    </xf>
    <xf numFmtId="49" fontId="58" fillId="0" borderId="10" xfId="0" applyNumberFormat="1" applyFont="1" applyBorder="1" applyAlignment="1">
      <alignment horizontal="center" wrapText="1" readingOrder="1"/>
    </xf>
    <xf numFmtId="0" fontId="61" fillId="0" borderId="11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49" fontId="58" fillId="0" borderId="10" xfId="0" applyNumberFormat="1" applyFont="1" applyBorder="1" applyAlignment="1">
      <alignment horizontal="center" vertical="top" wrapText="1"/>
    </xf>
    <xf numFmtId="49" fontId="58" fillId="0" borderId="10" xfId="0" applyNumberFormat="1" applyFont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 wrapText="1" readingOrder="1"/>
    </xf>
    <xf numFmtId="49" fontId="61" fillId="0" borderId="14" xfId="0" applyNumberFormat="1" applyFont="1" applyBorder="1" applyAlignment="1">
      <alignment horizontal="left" vertical="top" wrapText="1" readingOrder="1"/>
    </xf>
    <xf numFmtId="0" fontId="61" fillId="0" borderId="10" xfId="0" applyNumberFormat="1" applyFont="1" applyBorder="1" applyAlignment="1">
      <alignment horizontal="center" vertical="center" wrapText="1" readingOrder="1"/>
    </xf>
    <xf numFmtId="49" fontId="59" fillId="0" borderId="0" xfId="0" applyNumberFormat="1" applyFont="1" applyAlignment="1">
      <alignment readingOrder="1"/>
    </xf>
    <xf numFmtId="0" fontId="59" fillId="0" borderId="0" xfId="0" applyFont="1" applyAlignment="1">
      <alignment horizontal="center" readingOrder="1"/>
    </xf>
    <xf numFmtId="0" fontId="59" fillId="0" borderId="0" xfId="0" applyFont="1" applyAlignment="1">
      <alignment horizontal="left" readingOrder="1"/>
    </xf>
    <xf numFmtId="49" fontId="59" fillId="0" borderId="0" xfId="0" applyNumberFormat="1" applyFont="1" applyAlignment="1">
      <alignment horizontal="center" readingOrder="1"/>
    </xf>
    <xf numFmtId="0" fontId="59" fillId="0" borderId="0" xfId="0" applyFont="1" applyAlignment="1">
      <alignment/>
    </xf>
    <xf numFmtId="170" fontId="61" fillId="0" borderId="10" xfId="0" applyNumberFormat="1" applyFont="1" applyBorder="1" applyAlignment="1">
      <alignment horizontal="center" vertical="center" wrapText="1"/>
    </xf>
    <xf numFmtId="170" fontId="61" fillId="0" borderId="11" xfId="0" applyNumberFormat="1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readingOrder="1"/>
    </xf>
    <xf numFmtId="0" fontId="58" fillId="0" borderId="10" xfId="0" applyFont="1" applyBorder="1" applyAlignment="1">
      <alignment horizontal="center" vertical="center" wrapText="1"/>
    </xf>
    <xf numFmtId="170" fontId="58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 readingOrder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readingOrder="1"/>
    </xf>
    <xf numFmtId="170" fontId="61" fillId="0" borderId="21" xfId="0" applyNumberFormat="1" applyFont="1" applyBorder="1" applyAlignment="1">
      <alignment horizontal="center" vertical="center" wrapText="1"/>
    </xf>
    <xf numFmtId="170" fontId="61" fillId="0" borderId="22" xfId="0" applyNumberFormat="1" applyFont="1" applyBorder="1" applyAlignment="1">
      <alignment horizontal="center" vertical="center" wrapText="1"/>
    </xf>
    <xf numFmtId="170" fontId="61" fillId="0" borderId="23" xfId="0" applyNumberFormat="1" applyFont="1" applyBorder="1" applyAlignment="1">
      <alignment horizontal="center" vertical="center" wrapText="1"/>
    </xf>
    <xf numFmtId="170" fontId="58" fillId="0" borderId="24" xfId="0" applyNumberFormat="1" applyFont="1" applyBorder="1" applyAlignment="1">
      <alignment horizontal="center" vertical="center" wrapText="1"/>
    </xf>
    <xf numFmtId="170" fontId="58" fillId="0" borderId="25" xfId="0" applyNumberFormat="1" applyFont="1" applyBorder="1" applyAlignment="1">
      <alignment horizontal="center" vertical="center" wrapText="1"/>
    </xf>
    <xf numFmtId="170" fontId="58" fillId="0" borderId="26" xfId="0" applyNumberFormat="1" applyFont="1" applyBorder="1" applyAlignment="1">
      <alignment horizontal="center" vertical="center" wrapText="1"/>
    </xf>
    <xf numFmtId="170" fontId="58" fillId="0" borderId="27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 readingOrder="1"/>
    </xf>
    <xf numFmtId="0" fontId="56" fillId="0" borderId="0" xfId="0" applyFont="1" applyAlignment="1">
      <alignment horizontal="center" vertical="top" readingOrder="1"/>
    </xf>
    <xf numFmtId="0" fontId="59" fillId="0" borderId="0" xfId="0" applyFont="1" applyAlignment="1">
      <alignment horizontal="left" vertical="center" wrapText="1" readingOrder="1"/>
    </xf>
    <xf numFmtId="0" fontId="56" fillId="0" borderId="0" xfId="0" applyFont="1" applyAlignment="1">
      <alignment horizontal="left" vertical="center" readingOrder="1"/>
    </xf>
    <xf numFmtId="0" fontId="59" fillId="0" borderId="0" xfId="0" applyFont="1" applyFill="1" applyAlignment="1">
      <alignment vertical="center"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 vertical="top" wrapText="1"/>
    </xf>
    <xf numFmtId="170" fontId="58" fillId="13" borderId="10" xfId="0" applyNumberFormat="1" applyFont="1" applyFill="1" applyBorder="1" applyAlignment="1">
      <alignment horizontal="center" vertical="center"/>
    </xf>
    <xf numFmtId="170" fontId="61" fillId="13" borderId="1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vertical="top" wrapText="1" readingOrder="1"/>
    </xf>
    <xf numFmtId="170" fontId="61" fillId="33" borderId="10" xfId="0" applyNumberFormat="1" applyFont="1" applyFill="1" applyBorder="1" applyAlignment="1">
      <alignment horizontal="center" vertical="center" wrapText="1"/>
    </xf>
    <xf numFmtId="170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170" fontId="61" fillId="33" borderId="10" xfId="0" applyNumberFormat="1" applyFont="1" applyFill="1" applyBorder="1" applyAlignment="1">
      <alignment horizontal="center" vertical="center"/>
    </xf>
    <xf numFmtId="170" fontId="59" fillId="0" borderId="0" xfId="0" applyNumberFormat="1" applyFont="1" applyAlignment="1">
      <alignment/>
    </xf>
    <xf numFmtId="170" fontId="58" fillId="13" borderId="10" xfId="0" applyNumberFormat="1" applyFont="1" applyFill="1" applyBorder="1" applyAlignment="1">
      <alignment horizontal="center" vertical="center" wrapText="1"/>
    </xf>
    <xf numFmtId="170" fontId="61" fillId="13" borderId="10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Alignment="1">
      <alignment/>
    </xf>
    <xf numFmtId="170" fontId="61" fillId="33" borderId="10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Border="1" applyAlignment="1">
      <alignment horizontal="left" vertical="center" wrapText="1" readingOrder="1"/>
    </xf>
    <xf numFmtId="9" fontId="61" fillId="0" borderId="15" xfId="0" applyNumberFormat="1" applyFont="1" applyBorder="1" applyAlignment="1">
      <alignment horizontal="center" vertical="center" wrapText="1" readingOrder="1"/>
    </xf>
    <xf numFmtId="0" fontId="61" fillId="0" borderId="10" xfId="0" applyFont="1" applyBorder="1" applyAlignment="1">
      <alignment horizontal="center" vertical="top" wrapText="1"/>
    </xf>
    <xf numFmtId="170" fontId="61" fillId="0" borderId="10" xfId="0" applyNumberFormat="1" applyFont="1" applyBorder="1" applyAlignment="1">
      <alignment horizontal="center" vertical="center" wrapText="1"/>
    </xf>
    <xf numFmtId="170" fontId="61" fillId="0" borderId="11" xfId="0" applyNumberFormat="1" applyFont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 wrapText="1" readingOrder="1"/>
    </xf>
    <xf numFmtId="0" fontId="58" fillId="0" borderId="10" xfId="0" applyFont="1" applyBorder="1" applyAlignment="1">
      <alignment horizontal="center" wrapText="1"/>
    </xf>
    <xf numFmtId="170" fontId="61" fillId="33" borderId="28" xfId="0" applyNumberFormat="1" applyFont="1" applyFill="1" applyBorder="1" applyAlignment="1">
      <alignment horizontal="center" vertical="center" wrapText="1" readingOrder="1"/>
    </xf>
    <xf numFmtId="0" fontId="61" fillId="0" borderId="10" xfId="0" applyFont="1" applyBorder="1" applyAlignment="1">
      <alignment vertical="center" wrapText="1"/>
    </xf>
    <xf numFmtId="170" fontId="61" fillId="0" borderId="10" xfId="0" applyNumberFormat="1" applyFont="1" applyBorder="1" applyAlignment="1">
      <alignment vertical="center" wrapText="1" readingOrder="1"/>
    </xf>
    <xf numFmtId="0" fontId="61" fillId="0" borderId="0" xfId="0" applyFont="1" applyAlignment="1">
      <alignment horizontal="center" wrapText="1"/>
    </xf>
    <xf numFmtId="49" fontId="61" fillId="0" borderId="15" xfId="0" applyNumberFormat="1" applyFont="1" applyBorder="1" applyAlignment="1">
      <alignment vertical="top" wrapText="1" readingOrder="1"/>
    </xf>
    <xf numFmtId="49" fontId="61" fillId="0" borderId="10" xfId="0" applyNumberFormat="1" applyFont="1" applyBorder="1" applyAlignment="1">
      <alignment vertical="top" wrapText="1" readingOrder="1"/>
    </xf>
    <xf numFmtId="170" fontId="61" fillId="0" borderId="11" xfId="0" applyNumberFormat="1" applyFont="1" applyBorder="1" applyAlignment="1">
      <alignment horizontal="center" vertical="center" wrapText="1" readingOrder="1"/>
    </xf>
    <xf numFmtId="170" fontId="61" fillId="0" borderId="15" xfId="0" applyNumberFormat="1" applyFont="1" applyBorder="1" applyAlignment="1">
      <alignment horizontal="center" vertical="center" wrapText="1" readingOrder="1"/>
    </xf>
    <xf numFmtId="49" fontId="61" fillId="0" borderId="11" xfId="0" applyNumberFormat="1" applyFont="1" applyBorder="1" applyAlignment="1">
      <alignment horizontal="center" vertical="top" wrapText="1" readingOrder="1"/>
    </xf>
    <xf numFmtId="0" fontId="61" fillId="0" borderId="15" xfId="0" applyFont="1" applyBorder="1" applyAlignment="1">
      <alignment horizontal="center" vertical="top" wrapText="1"/>
    </xf>
    <xf numFmtId="49" fontId="61" fillId="0" borderId="10" xfId="0" applyNumberFormat="1" applyFont="1" applyBorder="1" applyAlignment="1">
      <alignment horizontal="center" vertical="top" wrapText="1" readingOrder="1"/>
    </xf>
    <xf numFmtId="0" fontId="61" fillId="0" borderId="10" xfId="0" applyFont="1" applyBorder="1" applyAlignment="1">
      <alignment vertical="top" wrapText="1"/>
    </xf>
    <xf numFmtId="0" fontId="61" fillId="0" borderId="11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 readingOrder="1"/>
    </xf>
    <xf numFmtId="170" fontId="61" fillId="0" borderId="10" xfId="0" applyNumberFormat="1" applyFont="1" applyBorder="1" applyAlignment="1">
      <alignment horizontal="center" vertical="center" wrapText="1" readingOrder="1"/>
    </xf>
    <xf numFmtId="170" fontId="61" fillId="0" borderId="14" xfId="0" applyNumberFormat="1" applyFont="1" applyBorder="1" applyAlignment="1">
      <alignment horizontal="center" vertical="center" wrapText="1" readingOrder="1"/>
    </xf>
    <xf numFmtId="49" fontId="61" fillId="0" borderId="10" xfId="0" applyNumberFormat="1" applyFont="1" applyBorder="1" applyAlignment="1">
      <alignment horizontal="left" vertical="top" wrapText="1" readingOrder="1"/>
    </xf>
    <xf numFmtId="49" fontId="61" fillId="0" borderId="10" xfId="0" applyNumberFormat="1" applyFont="1" applyBorder="1" applyAlignment="1">
      <alignment horizontal="center" vertical="top" readingOrder="1"/>
    </xf>
    <xf numFmtId="49" fontId="61" fillId="0" borderId="11" xfId="0" applyNumberFormat="1" applyFont="1" applyBorder="1" applyAlignment="1">
      <alignment horizontal="center" vertical="top" readingOrder="1"/>
    </xf>
    <xf numFmtId="49" fontId="61" fillId="0" borderId="15" xfId="0" applyNumberFormat="1" applyFont="1" applyBorder="1" applyAlignment="1">
      <alignment horizontal="center" vertical="top" readingOrder="1"/>
    </xf>
    <xf numFmtId="170" fontId="56" fillId="0" borderId="0" xfId="0" applyNumberFormat="1" applyFont="1" applyAlignment="1">
      <alignment horizontal="center" vertical="center" readingOrder="1"/>
    </xf>
    <xf numFmtId="49" fontId="58" fillId="0" borderId="15" xfId="0" applyNumberFormat="1" applyFont="1" applyBorder="1" applyAlignment="1">
      <alignment horizontal="center" vertical="center" wrapText="1" readingOrder="1"/>
    </xf>
    <xf numFmtId="49" fontId="61" fillId="0" borderId="29" xfId="0" applyNumberFormat="1" applyFont="1" applyBorder="1" applyAlignment="1">
      <alignment horizontal="center" vertical="top" wrapText="1" readingOrder="1"/>
    </xf>
    <xf numFmtId="49" fontId="58" fillId="0" borderId="30" xfId="0" applyNumberFormat="1" applyFont="1" applyBorder="1" applyAlignment="1">
      <alignment horizontal="left" vertical="top" wrapText="1" readingOrder="1"/>
    </xf>
    <xf numFmtId="49" fontId="61" fillId="0" borderId="30" xfId="0" applyNumberFormat="1" applyFont="1" applyBorder="1" applyAlignment="1">
      <alignment horizontal="center" vertical="top" wrapText="1" readingOrder="1"/>
    </xf>
    <xf numFmtId="0" fontId="61" fillId="0" borderId="10" xfId="0" applyFont="1" applyBorder="1" applyAlignment="1">
      <alignment horizontal="left" vertical="top" wrapText="1"/>
    </xf>
    <xf numFmtId="170" fontId="58" fillId="0" borderId="10" xfId="0" applyNumberFormat="1" applyFont="1" applyBorder="1" applyAlignment="1">
      <alignment horizontal="center" vertical="center" wrapText="1" readingOrder="1"/>
    </xf>
    <xf numFmtId="49" fontId="61" fillId="0" borderId="11" xfId="0" applyNumberFormat="1" applyFont="1" applyBorder="1" applyAlignment="1">
      <alignment horizontal="left" vertical="top" wrapText="1" readingOrder="1"/>
    </xf>
    <xf numFmtId="49" fontId="61" fillId="0" borderId="10" xfId="0" applyNumberFormat="1" applyFont="1" applyBorder="1" applyAlignment="1">
      <alignment horizontal="left" vertical="top" wrapText="1" readingOrder="1"/>
    </xf>
    <xf numFmtId="170" fontId="61" fillId="0" borderId="10" xfId="0" applyNumberFormat="1" applyFont="1" applyBorder="1" applyAlignment="1">
      <alignment horizontal="center" vertical="center" wrapText="1"/>
    </xf>
    <xf numFmtId="170" fontId="61" fillId="0" borderId="11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170" fontId="61" fillId="33" borderId="10" xfId="0" applyNumberFormat="1" applyFont="1" applyFill="1" applyBorder="1" applyAlignment="1">
      <alignment horizontal="center" vertical="center" wrapText="1"/>
    </xf>
    <xf numFmtId="170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170" fontId="61" fillId="0" borderId="10" xfId="0" applyNumberFormat="1" applyFont="1" applyBorder="1" applyAlignment="1">
      <alignment horizontal="center" vertical="top" wrapText="1"/>
    </xf>
    <xf numFmtId="49" fontId="58" fillId="0" borderId="10" xfId="0" applyNumberFormat="1" applyFont="1" applyBorder="1" applyAlignment="1">
      <alignment horizontal="left" vertical="top" wrapText="1"/>
    </xf>
    <xf numFmtId="49" fontId="58" fillId="0" borderId="31" xfId="0" applyNumberFormat="1" applyFont="1" applyBorder="1" applyAlignment="1">
      <alignment horizontal="left" vertical="center" wrapText="1" readingOrder="1"/>
    </xf>
    <xf numFmtId="49" fontId="61" fillId="0" borderId="32" xfId="0" applyNumberFormat="1" applyFont="1" applyBorder="1" applyAlignment="1">
      <alignment horizontal="center" vertical="center" wrapText="1" readingOrder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left" vertical="top" wrapText="1"/>
    </xf>
    <xf numFmtId="0" fontId="58" fillId="0" borderId="3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center" vertical="center" wrapText="1"/>
    </xf>
    <xf numFmtId="170" fontId="57" fillId="0" borderId="10" xfId="0" applyNumberFormat="1" applyFont="1" applyBorder="1" applyAlignment="1">
      <alignment horizontal="center" readingOrder="1"/>
    </xf>
    <xf numFmtId="0" fontId="57" fillId="0" borderId="10" xfId="0" applyFont="1" applyBorder="1" applyAlignment="1">
      <alignment horizontal="center" readingOrder="1"/>
    </xf>
    <xf numFmtId="170" fontId="61" fillId="0" borderId="10" xfId="0" applyNumberFormat="1" applyFont="1" applyBorder="1" applyAlignment="1">
      <alignment horizontal="center" vertical="center" wrapText="1"/>
    </xf>
    <xf numFmtId="170" fontId="61" fillId="0" borderId="11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top" wrapText="1"/>
    </xf>
    <xf numFmtId="49" fontId="58" fillId="0" borderId="10" xfId="0" applyNumberFormat="1" applyFont="1" applyBorder="1" applyAlignment="1">
      <alignment horizontal="left" vertical="top" wrapText="1"/>
    </xf>
    <xf numFmtId="170" fontId="61" fillId="0" borderId="10" xfId="0" applyNumberFormat="1" applyFont="1" applyBorder="1" applyAlignment="1">
      <alignment horizontal="center" vertical="top" wrapText="1"/>
    </xf>
    <xf numFmtId="170" fontId="58" fillId="0" borderId="36" xfId="0" applyNumberFormat="1" applyFont="1" applyBorder="1" applyAlignment="1">
      <alignment horizontal="center" vertical="top" wrapText="1"/>
    </xf>
    <xf numFmtId="0" fontId="57" fillId="0" borderId="32" xfId="0" applyFont="1" applyBorder="1" applyAlignment="1">
      <alignment horizontal="center" readingOrder="1"/>
    </xf>
    <xf numFmtId="9" fontId="61" fillId="0" borderId="10" xfId="0" applyNumberFormat="1" applyFont="1" applyBorder="1" applyAlignment="1">
      <alignment horizontal="center" vertical="center" wrapText="1" readingOrder="1"/>
    </xf>
    <xf numFmtId="0" fontId="61" fillId="0" borderId="10" xfId="0" applyFont="1" applyBorder="1" applyAlignment="1">
      <alignment horizontal="center" wrapText="1" readingOrder="1"/>
    </xf>
    <xf numFmtId="0" fontId="61" fillId="0" borderId="10" xfId="0" applyFont="1" applyBorder="1" applyAlignment="1">
      <alignment horizontal="center" wrapText="1"/>
    </xf>
    <xf numFmtId="170" fontId="61" fillId="33" borderId="10" xfId="0" applyNumberFormat="1" applyFont="1" applyFill="1" applyBorder="1" applyAlignment="1">
      <alignment horizontal="center" vertical="center" wrapText="1" readingOrder="1"/>
    </xf>
    <xf numFmtId="170" fontId="58" fillId="33" borderId="10" xfId="0" applyNumberFormat="1" applyFont="1" applyFill="1" applyBorder="1" applyAlignment="1">
      <alignment horizontal="center" vertical="center" wrapText="1" readingOrder="1"/>
    </xf>
    <xf numFmtId="0" fontId="61" fillId="0" borderId="37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left" vertical="center" wrapText="1"/>
    </xf>
    <xf numFmtId="49" fontId="61" fillId="0" borderId="10" xfId="58" applyNumberFormat="1" applyFont="1" applyBorder="1" applyAlignment="1">
      <alignment horizontal="center" vertical="center" wrapText="1" readingOrder="1"/>
    </xf>
    <xf numFmtId="0" fontId="58" fillId="0" borderId="11" xfId="0" applyFont="1" applyBorder="1" applyAlignment="1">
      <alignment vertical="top" wrapText="1"/>
    </xf>
    <xf numFmtId="0" fontId="61" fillId="0" borderId="15" xfId="0" applyFont="1" applyBorder="1" applyAlignment="1">
      <alignment vertical="top" wrapText="1"/>
    </xf>
    <xf numFmtId="170" fontId="61" fillId="33" borderId="10" xfId="0" applyNumberFormat="1" applyFont="1" applyFill="1" applyBorder="1" applyAlignment="1">
      <alignment horizontal="center" vertical="center" wrapText="1"/>
    </xf>
    <xf numFmtId="170" fontId="58" fillId="0" borderId="11" xfId="0" applyNumberFormat="1" applyFont="1" applyBorder="1" applyAlignment="1">
      <alignment horizontal="center" vertical="center" wrapText="1" readingOrder="1"/>
    </xf>
    <xf numFmtId="170" fontId="58" fillId="0" borderId="28" xfId="0" applyNumberFormat="1" applyFont="1" applyBorder="1" applyAlignment="1">
      <alignment horizontal="center" vertical="center" wrapText="1" readingOrder="1"/>
    </xf>
    <xf numFmtId="170" fontId="58" fillId="0" borderId="15" xfId="0" applyNumberFormat="1" applyFont="1" applyBorder="1" applyAlignment="1">
      <alignment horizontal="center" vertical="center" wrapText="1" readingOrder="1"/>
    </xf>
    <xf numFmtId="0" fontId="61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 readingOrder="1"/>
    </xf>
    <xf numFmtId="170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49" fontId="61" fillId="0" borderId="10" xfId="0" applyNumberFormat="1" applyFont="1" applyBorder="1" applyAlignment="1">
      <alignment horizontal="center" vertical="center" wrapText="1" readingOrder="1"/>
    </xf>
    <xf numFmtId="0" fontId="61" fillId="0" borderId="10" xfId="0" applyFont="1" applyBorder="1" applyAlignment="1">
      <alignment horizontal="center" vertical="center" wrapText="1"/>
    </xf>
    <xf numFmtId="170" fontId="61" fillId="0" borderId="11" xfId="0" applyNumberFormat="1" applyFont="1" applyBorder="1" applyAlignment="1">
      <alignment horizontal="center" vertical="center" wrapText="1" readingOrder="1"/>
    </xf>
    <xf numFmtId="170" fontId="61" fillId="0" borderId="15" xfId="0" applyNumberFormat="1" applyFont="1" applyBorder="1" applyAlignment="1">
      <alignment horizontal="center" vertical="center" wrapText="1" readingOrder="1"/>
    </xf>
    <xf numFmtId="170" fontId="61" fillId="0" borderId="10" xfId="0" applyNumberFormat="1" applyFont="1" applyBorder="1" applyAlignment="1">
      <alignment horizontal="center" vertical="center" wrapText="1" readingOrder="1"/>
    </xf>
    <xf numFmtId="170" fontId="61" fillId="0" borderId="28" xfId="0" applyNumberFormat="1" applyFont="1" applyBorder="1" applyAlignment="1">
      <alignment horizontal="center" vertical="center" wrapText="1" readingOrder="1"/>
    </xf>
    <xf numFmtId="49" fontId="61" fillId="0" borderId="11" xfId="0" applyNumberFormat="1" applyFont="1" applyBorder="1" applyAlignment="1">
      <alignment horizontal="center" vertical="center" wrapText="1" readingOrder="1"/>
    </xf>
    <xf numFmtId="170" fontId="61" fillId="0" borderId="11" xfId="0" applyNumberFormat="1" applyFont="1" applyBorder="1" applyAlignment="1">
      <alignment horizontal="center" vertical="center" wrapText="1"/>
    </xf>
    <xf numFmtId="170" fontId="58" fillId="0" borderId="10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top" wrapText="1" readingOrder="1"/>
    </xf>
    <xf numFmtId="0" fontId="0" fillId="0" borderId="28" xfId="0" applyBorder="1" applyAlignment="1">
      <alignment horizontal="center" vertical="top" wrapText="1" readingOrder="1"/>
    </xf>
    <xf numFmtId="0" fontId="61" fillId="0" borderId="28" xfId="0" applyFont="1" applyBorder="1" applyAlignment="1">
      <alignment horizontal="center" vertical="center" wrapText="1"/>
    </xf>
    <xf numFmtId="170" fontId="61" fillId="33" borderId="11" xfId="0" applyNumberFormat="1" applyFont="1" applyFill="1" applyBorder="1" applyAlignment="1">
      <alignment horizontal="center" vertical="center" wrapText="1"/>
    </xf>
    <xf numFmtId="170" fontId="61" fillId="0" borderId="28" xfId="0" applyNumberFormat="1" applyFon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 readingOrder="1"/>
    </xf>
    <xf numFmtId="0" fontId="58" fillId="0" borderId="10" xfId="0" applyFont="1" applyBorder="1" applyAlignment="1">
      <alignment vertical="top" wrapText="1"/>
    </xf>
    <xf numFmtId="0" fontId="61" fillId="0" borderId="38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 readingOrder="1"/>
    </xf>
    <xf numFmtId="0" fontId="61" fillId="0" borderId="15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top" wrapText="1" readingOrder="1"/>
    </xf>
    <xf numFmtId="170" fontId="58" fillId="0" borderId="10" xfId="0" applyNumberFormat="1" applyFont="1" applyBorder="1" applyAlignment="1">
      <alignment horizontal="center" vertical="center" wrapText="1" readingOrder="1"/>
    </xf>
    <xf numFmtId="0" fontId="61" fillId="0" borderId="10" xfId="0" applyFont="1" applyBorder="1" applyAlignment="1">
      <alignment vertical="top" wrapText="1"/>
    </xf>
    <xf numFmtId="170" fontId="58" fillId="0" borderId="11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top" wrapText="1" readingOrder="1"/>
    </xf>
    <xf numFmtId="170" fontId="61" fillId="33" borderId="28" xfId="0" applyNumberFormat="1" applyFont="1" applyFill="1" applyBorder="1" applyAlignment="1">
      <alignment horizontal="center" vertical="center" wrapText="1"/>
    </xf>
    <xf numFmtId="170" fontId="61" fillId="33" borderId="11" xfId="0" applyNumberFormat="1" applyFont="1" applyFill="1" applyBorder="1" applyAlignment="1">
      <alignment horizontal="center" vertical="center" wrapText="1" readingOrder="1"/>
    </xf>
    <xf numFmtId="0" fontId="61" fillId="0" borderId="11" xfId="0" applyFont="1" applyBorder="1" applyAlignment="1">
      <alignment horizontal="left" vertical="center" wrapText="1" readingOrder="1"/>
    </xf>
    <xf numFmtId="0" fontId="61" fillId="0" borderId="15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 readingOrder="1"/>
    </xf>
    <xf numFmtId="0" fontId="61" fillId="0" borderId="14" xfId="0" applyFont="1" applyBorder="1" applyAlignment="1">
      <alignment horizontal="center" vertical="top" wrapText="1"/>
    </xf>
    <xf numFmtId="170" fontId="61" fillId="34" borderId="10" xfId="0" applyNumberFormat="1" applyFont="1" applyFill="1" applyBorder="1" applyAlignment="1">
      <alignment horizontal="center" vertical="top" wrapText="1"/>
    </xf>
    <xf numFmtId="170" fontId="61" fillId="33" borderId="10" xfId="0" applyNumberFormat="1" applyFont="1" applyFill="1" applyBorder="1" applyAlignment="1">
      <alignment horizontal="center" vertical="center" wrapText="1"/>
    </xf>
    <xf numFmtId="170" fontId="58" fillId="0" borderId="28" xfId="0" applyNumberFormat="1" applyFont="1" applyBorder="1" applyAlignment="1">
      <alignment horizontal="center" vertical="center" wrapText="1" readingOrder="1"/>
    </xf>
    <xf numFmtId="170" fontId="58" fillId="0" borderId="15" xfId="0" applyNumberFormat="1" applyFont="1" applyBorder="1" applyAlignment="1">
      <alignment horizontal="center" vertical="center" wrapText="1" readingOrder="1"/>
    </xf>
    <xf numFmtId="0" fontId="61" fillId="0" borderId="11" xfId="0" applyFont="1" applyBorder="1" applyAlignment="1">
      <alignment horizontal="center" vertical="center" wrapText="1"/>
    </xf>
    <xf numFmtId="170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170" fontId="61" fillId="0" borderId="11" xfId="0" applyNumberFormat="1" applyFont="1" applyBorder="1" applyAlignment="1">
      <alignment horizontal="center" vertical="center" wrapText="1" readingOrder="1"/>
    </xf>
    <xf numFmtId="170" fontId="61" fillId="0" borderId="15" xfId="0" applyNumberFormat="1" applyFont="1" applyBorder="1" applyAlignment="1">
      <alignment horizontal="center" vertical="center" wrapText="1" readingOrder="1"/>
    </xf>
    <xf numFmtId="170" fontId="61" fillId="0" borderId="28" xfId="0" applyNumberFormat="1" applyFont="1" applyBorder="1" applyAlignment="1">
      <alignment horizontal="center" vertical="center" wrapText="1" readingOrder="1"/>
    </xf>
    <xf numFmtId="170" fontId="61" fillId="0" borderId="11" xfId="0" applyNumberFormat="1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170" fontId="61" fillId="0" borderId="28" xfId="0" applyNumberFormat="1" applyFont="1" applyBorder="1" applyAlignment="1">
      <alignment horizontal="center" vertical="center" wrapText="1"/>
    </xf>
    <xf numFmtId="170" fontId="61" fillId="33" borderId="11" xfId="0" applyNumberFormat="1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70" fontId="61" fillId="0" borderId="10" xfId="0" applyNumberFormat="1" applyFont="1" applyBorder="1" applyAlignment="1">
      <alignment horizontal="center" vertical="center" wrapText="1" readingOrder="1"/>
    </xf>
    <xf numFmtId="9" fontId="61" fillId="0" borderId="10" xfId="0" applyNumberFormat="1" applyFont="1" applyBorder="1" applyAlignment="1">
      <alignment horizontal="center" vertical="center" wrapText="1" readingOrder="1"/>
    </xf>
    <xf numFmtId="0" fontId="58" fillId="0" borderId="10" xfId="0" applyFont="1" applyBorder="1" applyAlignment="1">
      <alignment vertical="top" wrapText="1"/>
    </xf>
    <xf numFmtId="170" fontId="58" fillId="0" borderId="10" xfId="0" applyNumberFormat="1" applyFont="1" applyBorder="1" applyAlignment="1">
      <alignment horizontal="center" vertical="center" wrapText="1" readingOrder="1"/>
    </xf>
    <xf numFmtId="49" fontId="61" fillId="0" borderId="10" xfId="0" applyNumberFormat="1" applyFont="1" applyBorder="1" applyAlignment="1">
      <alignment horizontal="center" vertical="top" wrapText="1" readingOrder="1"/>
    </xf>
    <xf numFmtId="0" fontId="61" fillId="0" borderId="10" xfId="0" applyFont="1" applyBorder="1" applyAlignment="1">
      <alignment vertical="top" wrapText="1"/>
    </xf>
    <xf numFmtId="170" fontId="58" fillId="0" borderId="11" xfId="0" applyNumberFormat="1" applyFont="1" applyBorder="1" applyAlignment="1">
      <alignment horizontal="center" vertical="center" wrapText="1"/>
    </xf>
    <xf numFmtId="170" fontId="61" fillId="33" borderId="28" xfId="0" applyNumberFormat="1" applyFont="1" applyFill="1" applyBorder="1" applyAlignment="1">
      <alignment horizontal="center" vertical="center" wrapText="1"/>
    </xf>
    <xf numFmtId="170" fontId="61" fillId="33" borderId="11" xfId="0" applyNumberFormat="1" applyFont="1" applyFill="1" applyBorder="1" applyAlignment="1">
      <alignment horizontal="center" vertical="center" wrapText="1" readingOrder="1"/>
    </xf>
    <xf numFmtId="0" fontId="61" fillId="0" borderId="10" xfId="0" applyFont="1" applyBorder="1" applyAlignment="1">
      <alignment horizontal="center" vertical="top" wrapText="1" readingOrder="1"/>
    </xf>
    <xf numFmtId="0" fontId="61" fillId="0" borderId="15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 readingOrder="1"/>
    </xf>
    <xf numFmtId="170" fontId="61" fillId="33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 readingOrder="1"/>
    </xf>
    <xf numFmtId="170" fontId="58" fillId="34" borderId="10" xfId="0" applyNumberFormat="1" applyFont="1" applyFill="1" applyBorder="1" applyAlignment="1">
      <alignment horizontal="center" vertical="center" wrapText="1"/>
    </xf>
    <xf numFmtId="170" fontId="61" fillId="34" borderId="10" xfId="0" applyNumberFormat="1" applyFont="1" applyFill="1" applyBorder="1" applyAlignment="1">
      <alignment horizontal="center" vertical="center" wrapText="1"/>
    </xf>
    <xf numFmtId="170" fontId="61" fillId="34" borderId="11" xfId="0" applyNumberFormat="1" applyFont="1" applyFill="1" applyBorder="1" applyAlignment="1">
      <alignment horizontal="center" vertical="center" wrapText="1" readingOrder="1"/>
    </xf>
    <xf numFmtId="170" fontId="61" fillId="0" borderId="11" xfId="0" applyNumberFormat="1" applyFont="1" applyFill="1" applyBorder="1" applyAlignment="1">
      <alignment horizontal="center" vertical="center" wrapText="1" readingOrder="1"/>
    </xf>
    <xf numFmtId="170" fontId="61" fillId="0" borderId="28" xfId="0" applyNumberFormat="1" applyFont="1" applyFill="1" applyBorder="1" applyAlignment="1">
      <alignment horizontal="center" vertical="center" wrapText="1" readingOrder="1"/>
    </xf>
    <xf numFmtId="170" fontId="58" fillId="0" borderId="39" xfId="0" applyNumberFormat="1" applyFont="1" applyFill="1" applyBorder="1" applyAlignment="1">
      <alignment horizontal="center" vertical="top" wrapText="1"/>
    </xf>
    <xf numFmtId="49" fontId="61" fillId="0" borderId="0" xfId="0" applyNumberFormat="1" applyFont="1" applyFill="1" applyAlignment="1">
      <alignment horizontal="center" vertical="center" readingOrder="1"/>
    </xf>
    <xf numFmtId="0" fontId="61" fillId="0" borderId="0" xfId="0" applyFont="1" applyFill="1" applyAlignment="1">
      <alignment readingOrder="1"/>
    </xf>
    <xf numFmtId="0" fontId="61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readingOrder="1"/>
    </xf>
    <xf numFmtId="0" fontId="61" fillId="0" borderId="0" xfId="0" applyFont="1" applyFill="1" applyAlignment="1">
      <alignment horizontal="center" vertical="top" readingOrder="1"/>
    </xf>
    <xf numFmtId="0" fontId="58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left" vertical="top" wrapText="1"/>
    </xf>
    <xf numFmtId="170" fontId="58" fillId="0" borderId="11" xfId="0" applyNumberFormat="1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vertical="top" wrapText="1"/>
    </xf>
    <xf numFmtId="0" fontId="61" fillId="0" borderId="11" xfId="0" applyFont="1" applyFill="1" applyBorder="1" applyAlignment="1">
      <alignment horizontal="left" vertical="top" wrapText="1" readingOrder="1"/>
    </xf>
    <xf numFmtId="0" fontId="61" fillId="0" borderId="10" xfId="0" applyFont="1" applyFill="1" applyBorder="1" applyAlignment="1">
      <alignment horizontal="center" vertical="top" wrapText="1" readingOrder="1"/>
    </xf>
    <xf numFmtId="0" fontId="57" fillId="0" borderId="0" xfId="0" applyFont="1" applyFill="1" applyAlignment="1">
      <alignment horizontal="left" vertical="top" readingOrder="1"/>
    </xf>
    <xf numFmtId="170" fontId="58" fillId="0" borderId="28" xfId="0" applyNumberFormat="1" applyFont="1" applyFill="1" applyBorder="1" applyAlignment="1">
      <alignment horizontal="center" vertical="center" wrapText="1" readingOrder="1"/>
    </xf>
    <xf numFmtId="9" fontId="61" fillId="0" borderId="11" xfId="0" applyNumberFormat="1" applyFont="1" applyFill="1" applyBorder="1" applyAlignment="1">
      <alignment horizontal="center" vertical="top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0" fontId="56" fillId="0" borderId="0" xfId="0" applyFont="1" applyFill="1" applyAlignment="1">
      <alignment readingOrder="1"/>
    </xf>
    <xf numFmtId="0" fontId="58" fillId="0" borderId="17" xfId="0" applyFont="1" applyFill="1" applyBorder="1" applyAlignment="1">
      <alignment horizontal="center" vertical="center" wrapText="1" readingOrder="1"/>
    </xf>
    <xf numFmtId="0" fontId="61" fillId="0" borderId="17" xfId="0" applyFont="1" applyFill="1" applyBorder="1" applyAlignment="1">
      <alignment horizontal="center" vertical="center" wrapText="1" readingOrder="1"/>
    </xf>
    <xf numFmtId="170" fontId="61" fillId="0" borderId="10" xfId="0" applyNumberFormat="1" applyFont="1" applyFill="1" applyBorder="1" applyAlignment="1">
      <alignment horizontal="center" vertical="top" wrapText="1"/>
    </xf>
    <xf numFmtId="170" fontId="61" fillId="0" borderId="21" xfId="0" applyNumberFormat="1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center" wrapText="1" readingOrder="1"/>
    </xf>
    <xf numFmtId="170" fontId="61" fillId="0" borderId="22" xfId="0" applyNumberFormat="1" applyFont="1" applyFill="1" applyBorder="1" applyAlignment="1">
      <alignment horizontal="center" vertical="top" wrapText="1"/>
    </xf>
    <xf numFmtId="170" fontId="61" fillId="0" borderId="23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 readingOrder="1"/>
    </xf>
    <xf numFmtId="170" fontId="58" fillId="0" borderId="10" xfId="0" applyNumberFormat="1" applyFont="1" applyFill="1" applyBorder="1" applyAlignment="1">
      <alignment horizontal="center" vertical="top" wrapText="1" readingOrder="1"/>
    </xf>
    <xf numFmtId="0" fontId="61" fillId="0" borderId="10" xfId="0" applyFont="1" applyFill="1" applyBorder="1" applyAlignment="1">
      <alignment horizontal="left" vertical="top" wrapText="1" readingOrder="1"/>
    </xf>
    <xf numFmtId="0" fontId="58" fillId="0" borderId="10" xfId="0" applyFont="1" applyFill="1" applyBorder="1" applyAlignment="1">
      <alignment horizontal="left" vertical="top" wrapText="1" readingOrder="1"/>
    </xf>
    <xf numFmtId="49" fontId="61" fillId="0" borderId="11" xfId="0" applyNumberFormat="1" applyFont="1" applyFill="1" applyBorder="1" applyAlignment="1">
      <alignment horizontal="center" vertical="top" wrapText="1" readingOrder="1"/>
    </xf>
    <xf numFmtId="0" fontId="58" fillId="0" borderId="40" xfId="0" applyFont="1" applyFill="1" applyBorder="1" applyAlignment="1">
      <alignment horizontal="left" vertical="center" wrapText="1" readingOrder="1"/>
    </xf>
    <xf numFmtId="170" fontId="58" fillId="0" borderId="41" xfId="0" applyNumberFormat="1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left" vertical="center" wrapText="1" readingOrder="1"/>
    </xf>
    <xf numFmtId="0" fontId="61" fillId="0" borderId="18" xfId="0" applyFont="1" applyFill="1" applyBorder="1" applyAlignment="1">
      <alignment horizontal="left" vertical="center" wrapText="1" readingOrder="1"/>
    </xf>
    <xf numFmtId="49" fontId="58" fillId="0" borderId="15" xfId="0" applyNumberFormat="1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horizontal="center" vertical="center" wrapText="1" readingOrder="1"/>
    </xf>
    <xf numFmtId="49" fontId="61" fillId="0" borderId="10" xfId="0" applyNumberFormat="1" applyFont="1" applyFill="1" applyBorder="1" applyAlignment="1">
      <alignment horizontal="center" vertical="top" wrapText="1" readingOrder="1"/>
    </xf>
    <xf numFmtId="0" fontId="61" fillId="0" borderId="10" xfId="0" applyFont="1" applyFill="1" applyBorder="1" applyAlignment="1">
      <alignment horizontal="center" vertical="center" wrapText="1" readingOrder="1"/>
    </xf>
    <xf numFmtId="170" fontId="61" fillId="0" borderId="10" xfId="0" applyNumberFormat="1" applyFont="1" applyFill="1" applyBorder="1" applyAlignment="1">
      <alignment horizontal="center" vertical="center" wrapText="1" readingOrder="1"/>
    </xf>
    <xf numFmtId="170" fontId="58" fillId="0" borderId="11" xfId="0" applyNumberFormat="1" applyFont="1" applyFill="1" applyBorder="1" applyAlignment="1">
      <alignment horizontal="center" vertical="center" wrapText="1" readingOrder="1"/>
    </xf>
    <xf numFmtId="9" fontId="61" fillId="0" borderId="10" xfId="0" applyNumberFormat="1" applyFont="1" applyFill="1" applyBorder="1" applyAlignment="1">
      <alignment horizontal="center" vertical="top" wrapText="1" readingOrder="1"/>
    </xf>
    <xf numFmtId="0" fontId="61" fillId="0" borderId="28" xfId="0" applyFont="1" applyFill="1" applyBorder="1" applyAlignment="1">
      <alignment horizontal="center" vertical="top" wrapText="1" readingOrder="1"/>
    </xf>
    <xf numFmtId="49" fontId="58" fillId="0" borderId="10" xfId="0" applyNumberFormat="1" applyFont="1" applyFill="1" applyBorder="1" applyAlignment="1">
      <alignment horizontal="left" vertical="top" wrapText="1"/>
    </xf>
    <xf numFmtId="170" fontId="58" fillId="0" borderId="10" xfId="0" applyNumberFormat="1" applyFont="1" applyFill="1" applyBorder="1" applyAlignment="1">
      <alignment horizontal="center" vertical="center" wrapText="1" readingOrder="1"/>
    </xf>
    <xf numFmtId="49" fontId="58" fillId="0" borderId="10" xfId="0" applyNumberFormat="1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left" vertical="center" wrapText="1" readingOrder="1"/>
    </xf>
    <xf numFmtId="170" fontId="58" fillId="0" borderId="42" xfId="0" applyNumberFormat="1" applyFont="1" applyFill="1" applyBorder="1" applyAlignment="1">
      <alignment horizontal="center" vertical="center" wrapText="1" readingOrder="1"/>
    </xf>
    <xf numFmtId="170" fontId="58" fillId="0" borderId="43" xfId="0" applyNumberFormat="1" applyFont="1" applyFill="1" applyBorder="1" applyAlignment="1">
      <alignment horizontal="center" vertical="center" wrapText="1" readingOrder="1"/>
    </xf>
    <xf numFmtId="170" fontId="61" fillId="0" borderId="21" xfId="0" applyNumberFormat="1" applyFont="1" applyFill="1" applyBorder="1" applyAlignment="1">
      <alignment horizontal="center" vertical="center" wrapText="1" readingOrder="1"/>
    </xf>
    <xf numFmtId="0" fontId="61" fillId="0" borderId="35" xfId="0" applyFont="1" applyFill="1" applyBorder="1" applyAlignment="1">
      <alignment horizontal="left" vertical="center" wrapText="1" readingOrder="1"/>
    </xf>
    <xf numFmtId="170" fontId="61" fillId="0" borderId="44" xfId="0" applyNumberFormat="1" applyFont="1" applyFill="1" applyBorder="1" applyAlignment="1">
      <alignment horizontal="center" vertical="center" wrapText="1" readingOrder="1"/>
    </xf>
    <xf numFmtId="49" fontId="63" fillId="0" borderId="0" xfId="0" applyNumberFormat="1" applyFont="1" applyFill="1" applyBorder="1" applyAlignment="1">
      <alignment horizontal="center" vertical="center" wrapText="1" readingOrder="1"/>
    </xf>
    <xf numFmtId="0" fontId="63" fillId="0" borderId="0" xfId="0" applyFont="1" applyFill="1" applyBorder="1" applyAlignment="1">
      <alignment horizontal="left" vertical="top" wrapText="1" readingOrder="1"/>
    </xf>
    <xf numFmtId="0" fontId="63" fillId="0" borderId="0" xfId="0" applyFont="1" applyFill="1" applyBorder="1" applyAlignment="1">
      <alignment horizontal="center" vertical="center" wrapText="1" readingOrder="1"/>
    </xf>
    <xf numFmtId="0" fontId="63" fillId="0" borderId="45" xfId="0" applyFont="1" applyFill="1" applyBorder="1" applyAlignment="1">
      <alignment horizontal="left" vertical="top" wrapText="1" readingOrder="1"/>
    </xf>
    <xf numFmtId="0" fontId="63" fillId="0" borderId="45" xfId="0" applyFont="1" applyFill="1" applyBorder="1" applyAlignment="1">
      <alignment horizontal="center" vertical="top" wrapText="1" readingOrder="1"/>
    </xf>
    <xf numFmtId="0" fontId="63" fillId="0" borderId="0" xfId="0" applyFont="1" applyFill="1" applyBorder="1" applyAlignment="1">
      <alignment horizontal="center" vertical="top" wrapText="1" readingOrder="1"/>
    </xf>
    <xf numFmtId="49" fontId="63" fillId="0" borderId="0" xfId="0" applyNumberFormat="1" applyFont="1" applyFill="1" applyBorder="1" applyAlignment="1">
      <alignment horizontal="center" vertical="center" readingOrder="1"/>
    </xf>
    <xf numFmtId="0" fontId="63" fillId="0" borderId="0" xfId="0" applyFont="1" applyFill="1" applyBorder="1" applyAlignment="1">
      <alignment horizontal="left" vertical="top" readingOrder="1"/>
    </xf>
    <xf numFmtId="0" fontId="63" fillId="0" borderId="0" xfId="0" applyFont="1" applyFill="1" applyBorder="1" applyAlignment="1">
      <alignment horizontal="center" vertical="center" readingOrder="1"/>
    </xf>
    <xf numFmtId="0" fontId="63" fillId="0" borderId="0" xfId="0" applyFont="1" applyFill="1" applyBorder="1" applyAlignment="1">
      <alignment horizontal="center" vertical="top" readingOrder="1"/>
    </xf>
    <xf numFmtId="0" fontId="63" fillId="0" borderId="0" xfId="0" applyFont="1" applyFill="1" applyBorder="1" applyAlignment="1">
      <alignment readingOrder="1"/>
    </xf>
    <xf numFmtId="49" fontId="57" fillId="0" borderId="0" xfId="0" applyNumberFormat="1" applyFont="1" applyFill="1" applyBorder="1" applyAlignment="1">
      <alignment horizontal="center" vertical="center" readingOrder="1"/>
    </xf>
    <xf numFmtId="0" fontId="57" fillId="0" borderId="0" xfId="0" applyFont="1" applyFill="1" applyBorder="1" applyAlignment="1">
      <alignment readingOrder="1"/>
    </xf>
    <xf numFmtId="0" fontId="57" fillId="0" borderId="0" xfId="0" applyFont="1" applyFill="1" applyBorder="1" applyAlignment="1">
      <alignment horizontal="center" vertical="center" readingOrder="1"/>
    </xf>
    <xf numFmtId="0" fontId="57" fillId="0" borderId="0" xfId="0" applyFont="1" applyFill="1" applyBorder="1" applyAlignment="1">
      <alignment horizontal="center" vertical="top" readingOrder="1"/>
    </xf>
    <xf numFmtId="49" fontId="57" fillId="0" borderId="0" xfId="0" applyNumberFormat="1" applyFont="1" applyFill="1" applyAlignment="1">
      <alignment horizontal="center" vertical="center" readingOrder="1"/>
    </xf>
    <xf numFmtId="0" fontId="57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horizontal="center" vertical="top" readingOrder="1"/>
    </xf>
    <xf numFmtId="0" fontId="58" fillId="0" borderId="29" xfId="0" applyFont="1" applyFill="1" applyBorder="1" applyAlignment="1">
      <alignment horizontal="left" vertical="center" wrapText="1"/>
    </xf>
    <xf numFmtId="170" fontId="58" fillId="0" borderId="15" xfId="0" applyNumberFormat="1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horizontal="center" vertical="center" wrapText="1"/>
    </xf>
    <xf numFmtId="170" fontId="61" fillId="0" borderId="10" xfId="0" applyNumberFormat="1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top" wrapText="1" readingOrder="1"/>
    </xf>
    <xf numFmtId="0" fontId="61" fillId="0" borderId="11" xfId="0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vertical="top" wrapText="1" readingOrder="1"/>
    </xf>
    <xf numFmtId="49" fontId="61" fillId="0" borderId="15" xfId="0" applyNumberFormat="1" applyFont="1" applyFill="1" applyBorder="1" applyAlignment="1">
      <alignment horizontal="left" vertical="center" wrapText="1" readingOrder="1"/>
    </xf>
    <xf numFmtId="9" fontId="61" fillId="0" borderId="15" xfId="0" applyNumberFormat="1" applyFont="1" applyFill="1" applyBorder="1" applyAlignment="1">
      <alignment horizontal="center" vertical="center" wrapText="1" readingOrder="1"/>
    </xf>
    <xf numFmtId="170" fontId="61" fillId="0" borderId="15" xfId="0" applyNumberFormat="1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vertical="center" wrapText="1"/>
    </xf>
    <xf numFmtId="170" fontId="61" fillId="0" borderId="10" xfId="0" applyNumberFormat="1" applyFont="1" applyFill="1" applyBorder="1" applyAlignment="1">
      <alignment vertical="center" wrapText="1" readingOrder="1"/>
    </xf>
    <xf numFmtId="170" fontId="58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left" vertical="top" wrapText="1" readingOrder="1"/>
    </xf>
    <xf numFmtId="0" fontId="61" fillId="0" borderId="14" xfId="0" applyFont="1" applyFill="1" applyBorder="1" applyAlignment="1">
      <alignment horizontal="center" vertical="top" wrapText="1"/>
    </xf>
    <xf numFmtId="170" fontId="61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170" fontId="58" fillId="0" borderId="11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70" fontId="61" fillId="0" borderId="21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170" fontId="61" fillId="0" borderId="22" xfId="0" applyNumberFormat="1" applyFont="1" applyFill="1" applyBorder="1" applyAlignment="1">
      <alignment horizontal="center" vertical="center" wrapText="1"/>
    </xf>
    <xf numFmtId="170" fontId="61" fillId="0" borderId="23" xfId="0" applyNumberFormat="1" applyFont="1" applyFill="1" applyBorder="1" applyAlignment="1">
      <alignment horizontal="center" vertical="center" wrapText="1"/>
    </xf>
    <xf numFmtId="49" fontId="61" fillId="0" borderId="10" xfId="58" applyNumberFormat="1" applyFont="1" applyFill="1" applyBorder="1" applyAlignment="1">
      <alignment horizontal="center" vertical="center" wrapText="1" readingOrder="1"/>
    </xf>
    <xf numFmtId="49" fontId="61" fillId="0" borderId="10" xfId="0" applyNumberFormat="1" applyFont="1" applyFill="1" applyBorder="1" applyAlignment="1">
      <alignment horizontal="left" vertical="center" wrapText="1" readingOrder="1"/>
    </xf>
    <xf numFmtId="0" fontId="61" fillId="0" borderId="35" xfId="0" applyFont="1" applyFill="1" applyBorder="1" applyAlignment="1">
      <alignment horizontal="center" vertical="center" wrapText="1"/>
    </xf>
    <xf numFmtId="170" fontId="61" fillId="0" borderId="44" xfId="0" applyNumberFormat="1" applyFont="1" applyFill="1" applyBorder="1" applyAlignment="1">
      <alignment horizontal="center" vertical="center" wrapText="1"/>
    </xf>
    <xf numFmtId="170" fontId="58" fillId="0" borderId="21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70" fontId="58" fillId="0" borderId="22" xfId="0" applyNumberFormat="1" applyFont="1" applyFill="1" applyBorder="1" applyAlignment="1">
      <alignment horizontal="center" vertical="center" wrapText="1"/>
    </xf>
    <xf numFmtId="170" fontId="58" fillId="0" borderId="23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top" readingOrder="1"/>
    </xf>
    <xf numFmtId="0" fontId="56" fillId="0" borderId="0" xfId="0" applyFont="1" applyFill="1" applyAlignment="1">
      <alignment horizontal="center" vertical="center" readingOrder="1"/>
    </xf>
    <xf numFmtId="0" fontId="56" fillId="0" borderId="0" xfId="0" applyFont="1" applyFill="1" applyAlignment="1">
      <alignment horizontal="left" vertical="center" readingOrder="1"/>
    </xf>
    <xf numFmtId="0" fontId="56" fillId="0" borderId="0" xfId="0" applyFont="1" applyFill="1" applyAlignment="1">
      <alignment horizontal="center" readingOrder="1"/>
    </xf>
    <xf numFmtId="170" fontId="56" fillId="0" borderId="0" xfId="0" applyNumberFormat="1" applyFont="1" applyFill="1" applyAlignment="1">
      <alignment horizontal="center" vertical="center" readingOrder="1"/>
    </xf>
    <xf numFmtId="170" fontId="61" fillId="34" borderId="10" xfId="0" applyNumberFormat="1" applyFont="1" applyFill="1" applyBorder="1" applyAlignment="1">
      <alignment horizontal="center" vertical="center" wrapText="1" readingOrder="1"/>
    </xf>
    <xf numFmtId="0" fontId="61" fillId="0" borderId="0" xfId="0" applyFont="1" applyBorder="1" applyAlignment="1">
      <alignment horizontal="right" vertical="top" wrapText="1" readingOrder="1"/>
    </xf>
    <xf numFmtId="0" fontId="58" fillId="0" borderId="11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70" fontId="61" fillId="0" borderId="15" xfId="0" applyNumberFormat="1" applyFont="1" applyBorder="1" applyAlignment="1">
      <alignment horizontal="center" vertical="center" wrapText="1" readingOrder="1"/>
    </xf>
    <xf numFmtId="170" fontId="61" fillId="0" borderId="28" xfId="0" applyNumberFormat="1" applyFont="1" applyBorder="1" applyAlignment="1">
      <alignment horizontal="center" vertical="center" wrapText="1" readingOrder="1"/>
    </xf>
    <xf numFmtId="0" fontId="61" fillId="0" borderId="1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49" fontId="61" fillId="0" borderId="28" xfId="0" applyNumberFormat="1" applyFont="1" applyBorder="1" applyAlignment="1">
      <alignment horizontal="left" vertical="top" wrapText="1" readingOrder="1"/>
    </xf>
    <xf numFmtId="0" fontId="0" fillId="0" borderId="15" xfId="0" applyBorder="1" applyAlignment="1">
      <alignment horizontal="center" vertical="top" wrapText="1"/>
    </xf>
    <xf numFmtId="0" fontId="61" fillId="0" borderId="28" xfId="0" applyFont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 wrapText="1"/>
    </xf>
    <xf numFmtId="0" fontId="61" fillId="0" borderId="28" xfId="0" applyFont="1" applyFill="1" applyBorder="1" applyAlignment="1">
      <alignment horizontal="center" vertical="top" wrapText="1"/>
    </xf>
    <xf numFmtId="9" fontId="61" fillId="0" borderId="10" xfId="0" applyNumberFormat="1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vertical="top" wrapText="1"/>
    </xf>
    <xf numFmtId="170" fontId="58" fillId="0" borderId="10" xfId="0" applyNumberFormat="1" applyFont="1" applyFill="1" applyBorder="1" applyAlignment="1">
      <alignment horizontal="center" vertical="center" wrapText="1"/>
    </xf>
    <xf numFmtId="170" fontId="58" fillId="0" borderId="21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 readingOrder="1"/>
    </xf>
    <xf numFmtId="0" fontId="61" fillId="0" borderId="11" xfId="0" applyFont="1" applyFill="1" applyBorder="1" applyAlignment="1">
      <alignment horizontal="center" vertical="top" wrapText="1" readingOrder="1"/>
    </xf>
    <xf numFmtId="0" fontId="61" fillId="0" borderId="10" xfId="0" applyFont="1" applyFill="1" applyBorder="1" applyAlignment="1">
      <alignment horizontal="left" vertical="top" wrapText="1" readingOrder="1"/>
    </xf>
    <xf numFmtId="0" fontId="61" fillId="0" borderId="28" xfId="0" applyFont="1" applyBorder="1" applyAlignment="1">
      <alignment horizontal="center" vertical="top" wrapText="1" readingOrder="1"/>
    </xf>
    <xf numFmtId="0" fontId="61" fillId="0" borderId="15" xfId="0" applyFont="1" applyBorder="1" applyAlignment="1">
      <alignment horizontal="center" vertical="top" wrapText="1" readingOrder="1"/>
    </xf>
    <xf numFmtId="49" fontId="61" fillId="0" borderId="28" xfId="0" applyNumberFormat="1" applyFont="1" applyBorder="1" applyAlignment="1">
      <alignment horizontal="center" vertical="center" wrapText="1" readingOrder="1"/>
    </xf>
    <xf numFmtId="0" fontId="61" fillId="0" borderId="10" xfId="0" applyFont="1" applyBorder="1" applyAlignment="1">
      <alignment horizontal="center" vertical="top" wrapText="1"/>
    </xf>
    <xf numFmtId="49" fontId="61" fillId="0" borderId="10" xfId="0" applyNumberFormat="1" applyFont="1" applyBorder="1" applyAlignment="1">
      <alignment horizontal="center" vertical="top" wrapText="1"/>
    </xf>
    <xf numFmtId="0" fontId="61" fillId="0" borderId="0" xfId="0" applyFont="1" applyBorder="1" applyAlignment="1">
      <alignment horizontal="right" vertical="top" wrapText="1" readingOrder="1"/>
    </xf>
    <xf numFmtId="0" fontId="57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center" vertical="top" readingOrder="1"/>
    </xf>
    <xf numFmtId="0" fontId="56" fillId="0" borderId="0" xfId="0" applyFont="1" applyAlignment="1">
      <alignment horizontal="left" wrapText="1" readingOrder="1"/>
    </xf>
    <xf numFmtId="0" fontId="61" fillId="0" borderId="10" xfId="0" applyFont="1" applyBorder="1" applyAlignment="1">
      <alignment horizontal="center" vertical="center" readingOrder="1"/>
    </xf>
    <xf numFmtId="170" fontId="61" fillId="0" borderId="28" xfId="0" applyNumberFormat="1" applyFont="1" applyBorder="1" applyAlignment="1">
      <alignment vertical="top" readingOrder="1"/>
    </xf>
    <xf numFmtId="0" fontId="61" fillId="0" borderId="28" xfId="0" applyFont="1" applyBorder="1" applyAlignment="1">
      <alignment vertical="top" readingOrder="1"/>
    </xf>
    <xf numFmtId="170" fontId="56" fillId="0" borderId="0" xfId="0" applyNumberFormat="1" applyFont="1" applyFill="1" applyAlignment="1">
      <alignment horizontal="center" readingOrder="1"/>
    </xf>
    <xf numFmtId="0" fontId="58" fillId="0" borderId="18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 readingOrder="1"/>
    </xf>
    <xf numFmtId="0" fontId="61" fillId="0" borderId="10" xfId="0" applyFont="1" applyFill="1" applyBorder="1" applyAlignment="1">
      <alignment readingOrder="1"/>
    </xf>
    <xf numFmtId="0" fontId="61" fillId="0" borderId="32" xfId="0" applyFont="1" applyFill="1" applyBorder="1" applyAlignment="1">
      <alignment vertical="top" wrapText="1" readingOrder="1"/>
    </xf>
    <xf numFmtId="170" fontId="58" fillId="0" borderId="46" xfId="0" applyNumberFormat="1" applyFont="1" applyFill="1" applyBorder="1" applyAlignment="1">
      <alignment horizontal="center" vertical="top" readingOrder="1"/>
    </xf>
    <xf numFmtId="170" fontId="58" fillId="0" borderId="47" xfId="0" applyNumberFormat="1" applyFont="1" applyFill="1" applyBorder="1" applyAlignment="1">
      <alignment horizontal="center" vertical="top" readingOrder="1"/>
    </xf>
    <xf numFmtId="0" fontId="58" fillId="0" borderId="48" xfId="0" applyFont="1" applyFill="1" applyBorder="1" applyAlignment="1">
      <alignment horizontal="center" vertical="top" wrapText="1" readingOrder="1"/>
    </xf>
    <xf numFmtId="0" fontId="61" fillId="0" borderId="49" xfId="0" applyFont="1" applyFill="1" applyBorder="1" applyAlignment="1">
      <alignment horizontal="center" vertical="top" readingOrder="1"/>
    </xf>
    <xf numFmtId="0" fontId="61" fillId="0" borderId="10" xfId="0" applyFont="1" applyFill="1" applyBorder="1" applyAlignment="1">
      <alignment horizontal="center" vertical="top" readingOrder="1"/>
    </xf>
    <xf numFmtId="0" fontId="61" fillId="0" borderId="10" xfId="0" applyFont="1" applyFill="1" applyBorder="1" applyAlignment="1">
      <alignment horizontal="center" vertical="center" readingOrder="1"/>
    </xf>
    <xf numFmtId="170" fontId="61" fillId="0" borderId="11" xfId="0" applyNumberFormat="1" applyFont="1" applyFill="1" applyBorder="1" applyAlignment="1">
      <alignment horizontal="center" vertical="top" wrapText="1" readingOrder="1"/>
    </xf>
    <xf numFmtId="0" fontId="61" fillId="0" borderId="10" xfId="0" applyFont="1" applyFill="1" applyBorder="1" applyAlignment="1">
      <alignment horizontal="center" readingOrder="1"/>
    </xf>
    <xf numFmtId="170" fontId="58" fillId="0" borderId="11" xfId="0" applyNumberFormat="1" applyFont="1" applyFill="1" applyBorder="1" applyAlignment="1">
      <alignment horizontal="center" vertical="top" wrapText="1" readingOrder="1"/>
    </xf>
    <xf numFmtId="0" fontId="58" fillId="0" borderId="11" xfId="0" applyFont="1" applyFill="1" applyBorder="1" applyAlignment="1">
      <alignment horizontal="center" vertical="top" wrapText="1" readingOrder="1"/>
    </xf>
    <xf numFmtId="0" fontId="59" fillId="0" borderId="15" xfId="0" applyFont="1" applyFill="1" applyBorder="1" applyAlignment="1">
      <alignment vertical="top" wrapText="1" readingOrder="1"/>
    </xf>
    <xf numFmtId="0" fontId="61" fillId="0" borderId="15" xfId="0" applyFont="1" applyFill="1" applyBorder="1" applyAlignment="1">
      <alignment readingOrder="1"/>
    </xf>
    <xf numFmtId="0" fontId="61" fillId="0" borderId="29" xfId="0" applyFont="1" applyFill="1" applyBorder="1" applyAlignment="1">
      <alignment vertical="top" wrapText="1" readingOrder="1"/>
    </xf>
    <xf numFmtId="0" fontId="59" fillId="0" borderId="49" xfId="0" applyFont="1" applyFill="1" applyBorder="1" applyAlignment="1">
      <alignment vertical="top" readingOrder="1"/>
    </xf>
    <xf numFmtId="170" fontId="58" fillId="0" borderId="11" xfId="0" applyNumberFormat="1" applyFont="1" applyFill="1" applyBorder="1" applyAlignment="1">
      <alignment horizontal="center" vertical="top" readingOrder="1"/>
    </xf>
    <xf numFmtId="0" fontId="59" fillId="0" borderId="11" xfId="0" applyFont="1" applyFill="1" applyBorder="1" applyAlignment="1">
      <alignment horizontal="center" vertical="top" readingOrder="1"/>
    </xf>
    <xf numFmtId="0" fontId="61" fillId="0" borderId="31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readingOrder="1"/>
    </xf>
    <xf numFmtId="0" fontId="61" fillId="0" borderId="15" xfId="0" applyFont="1" applyFill="1" applyBorder="1" applyAlignment="1">
      <alignment horizontal="center" vertical="top" readingOrder="1"/>
    </xf>
    <xf numFmtId="0" fontId="61" fillId="0" borderId="32" xfId="0" applyFont="1" applyFill="1" applyBorder="1" applyAlignment="1">
      <alignment vertical="top" wrapText="1"/>
    </xf>
    <xf numFmtId="0" fontId="61" fillId="0" borderId="28" xfId="0" applyFont="1" applyFill="1" applyBorder="1" applyAlignment="1">
      <alignment horizontal="center" vertical="top" readingOrder="1"/>
    </xf>
    <xf numFmtId="0" fontId="58" fillId="0" borderId="49" xfId="0" applyFont="1" applyFill="1" applyBorder="1" applyAlignment="1">
      <alignment horizontal="center" vertical="top" readingOrder="1"/>
    </xf>
    <xf numFmtId="170" fontId="59" fillId="0" borderId="50" xfId="0" applyNumberFormat="1" applyFont="1" applyFill="1" applyBorder="1" applyAlignment="1">
      <alignment vertical="top" readingOrder="1"/>
    </xf>
    <xf numFmtId="0" fontId="59" fillId="0" borderId="50" xfId="0" applyFont="1" applyFill="1" applyBorder="1" applyAlignment="1">
      <alignment vertical="top" readingOrder="1"/>
    </xf>
    <xf numFmtId="170" fontId="61" fillId="0" borderId="11" xfId="0" applyNumberFormat="1" applyFont="1" applyFill="1" applyBorder="1" applyAlignment="1">
      <alignment horizontal="center" vertical="top" readingOrder="1"/>
    </xf>
    <xf numFmtId="170" fontId="61" fillId="34" borderId="11" xfId="0" applyNumberFormat="1" applyFont="1" applyFill="1" applyBorder="1" applyAlignment="1">
      <alignment horizontal="center" vertical="top" readingOrder="1"/>
    </xf>
    <xf numFmtId="0" fontId="61" fillId="0" borderId="11" xfId="0" applyFont="1" applyFill="1" applyBorder="1" applyAlignment="1">
      <alignment horizontal="center" vertical="top" readingOrder="1"/>
    </xf>
    <xf numFmtId="170" fontId="61" fillId="0" borderId="11" xfId="0" applyNumberFormat="1" applyFont="1" applyFill="1" applyBorder="1" applyAlignment="1">
      <alignment vertical="top" readingOrder="1"/>
    </xf>
    <xf numFmtId="0" fontId="61" fillId="0" borderId="11" xfId="0" applyFont="1" applyFill="1" applyBorder="1" applyAlignment="1">
      <alignment vertical="top" readingOrder="1"/>
    </xf>
    <xf numFmtId="170" fontId="58" fillId="0" borderId="11" xfId="0" applyNumberFormat="1" applyFont="1" applyFill="1" applyBorder="1" applyAlignment="1">
      <alignment vertical="top" readingOrder="1"/>
    </xf>
    <xf numFmtId="0" fontId="58" fillId="0" borderId="11" xfId="0" applyFont="1" applyFill="1" applyBorder="1" applyAlignment="1">
      <alignment vertical="top" wrapText="1" readingOrder="1"/>
    </xf>
    <xf numFmtId="16" fontId="61" fillId="0" borderId="10" xfId="0" applyNumberFormat="1" applyFont="1" applyFill="1" applyBorder="1" applyAlignment="1">
      <alignment horizontal="center" vertical="top" readingOrder="1"/>
    </xf>
    <xf numFmtId="0" fontId="61" fillId="0" borderId="32" xfId="0" applyFont="1" applyFill="1" applyBorder="1" applyAlignment="1">
      <alignment wrapText="1" readingOrder="1"/>
    </xf>
    <xf numFmtId="16" fontId="61" fillId="0" borderId="49" xfId="0" applyNumberFormat="1" applyFont="1" applyFill="1" applyBorder="1" applyAlignment="1">
      <alignment horizontal="center" vertical="top" readingOrder="1"/>
    </xf>
    <xf numFmtId="170" fontId="58" fillId="0" borderId="10" xfId="0" applyNumberFormat="1" applyFont="1" applyFill="1" applyBorder="1" applyAlignment="1">
      <alignment horizontal="center" vertical="top" readingOrder="1"/>
    </xf>
    <xf numFmtId="0" fontId="59" fillId="0" borderId="10" xfId="0" applyFont="1" applyFill="1" applyBorder="1" applyAlignment="1">
      <alignment vertical="top" wrapText="1" readingOrder="1"/>
    </xf>
    <xf numFmtId="170" fontId="58" fillId="0" borderId="46" xfId="0" applyNumberFormat="1" applyFont="1" applyFill="1" applyBorder="1" applyAlignment="1">
      <alignment horizontal="center" vertical="top" wrapText="1" readingOrder="1"/>
    </xf>
    <xf numFmtId="170" fontId="58" fillId="0" borderId="47" xfId="0" applyNumberFormat="1" applyFont="1" applyFill="1" applyBorder="1" applyAlignment="1">
      <alignment horizontal="center" vertical="top" wrapText="1" readingOrder="1"/>
    </xf>
    <xf numFmtId="0" fontId="59" fillId="0" borderId="49" xfId="0" applyFont="1" applyFill="1" applyBorder="1" applyAlignment="1">
      <alignment horizontal="center" vertical="top" readingOrder="1"/>
    </xf>
    <xf numFmtId="0" fontId="59" fillId="0" borderId="30" xfId="0" applyFont="1" applyFill="1" applyBorder="1" applyAlignment="1">
      <alignment horizontal="center" vertical="top" readingOrder="1"/>
    </xf>
    <xf numFmtId="0" fontId="0" fillId="0" borderId="28" xfId="0" applyFill="1" applyBorder="1" applyAlignment="1">
      <alignment/>
    </xf>
    <xf numFmtId="0" fontId="59" fillId="0" borderId="51" xfId="0" applyFont="1" applyFill="1" applyBorder="1" applyAlignment="1">
      <alignment horizontal="center" vertical="top" readingOrder="1"/>
    </xf>
    <xf numFmtId="0" fontId="59" fillId="0" borderId="28" xfId="0" applyFont="1" applyFill="1" applyBorder="1" applyAlignment="1">
      <alignment vertical="top" wrapText="1" readingOrder="1"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horizontal="center" vertical="top" wrapText="1" readingOrder="1"/>
    </xf>
    <xf numFmtId="0" fontId="56" fillId="0" borderId="0" xfId="0" applyFont="1" applyFill="1" applyAlignment="1">
      <alignment horizontal="center" wrapText="1" readingOrder="1"/>
    </xf>
    <xf numFmtId="0" fontId="61" fillId="0" borderId="0" xfId="0" applyFont="1" applyFill="1" applyAlignment="1">
      <alignment horizontal="right"/>
    </xf>
    <xf numFmtId="0" fontId="58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 readingOrder="1"/>
    </xf>
    <xf numFmtId="0" fontId="61" fillId="0" borderId="17" xfId="0" applyFont="1" applyFill="1" applyBorder="1" applyAlignment="1">
      <alignment vertical="top" wrapText="1"/>
    </xf>
    <xf numFmtId="0" fontId="61" fillId="0" borderId="18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 readingOrder="1"/>
    </xf>
    <xf numFmtId="0" fontId="58" fillId="0" borderId="10" xfId="0" applyFont="1" applyFill="1" applyBorder="1" applyAlignment="1">
      <alignment horizontal="left" vertical="center" wrapText="1" readingOrder="1"/>
    </xf>
    <xf numFmtId="0" fontId="61" fillId="0" borderId="10" xfId="0" applyFont="1" applyFill="1" applyBorder="1" applyAlignment="1">
      <alignment vertical="center" wrapText="1" readingOrder="1"/>
    </xf>
    <xf numFmtId="0" fontId="58" fillId="0" borderId="16" xfId="0" applyFont="1" applyFill="1" applyBorder="1" applyAlignment="1">
      <alignment vertical="top" wrapText="1"/>
    </xf>
    <xf numFmtId="0" fontId="58" fillId="0" borderId="17" xfId="0" applyFont="1" applyFill="1" applyBorder="1" applyAlignment="1">
      <alignment vertical="top" wrapText="1"/>
    </xf>
    <xf numFmtId="0" fontId="61" fillId="0" borderId="35" xfId="0" applyFont="1" applyFill="1" applyBorder="1" applyAlignment="1">
      <alignment vertical="top" wrapText="1"/>
    </xf>
    <xf numFmtId="170" fontId="61" fillId="0" borderId="11" xfId="0" applyNumberFormat="1" applyFont="1" applyFill="1" applyBorder="1" applyAlignment="1">
      <alignment horizontal="center" vertical="top" wrapText="1"/>
    </xf>
    <xf numFmtId="170" fontId="61" fillId="0" borderId="44" xfId="0" applyNumberFormat="1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left" wrapText="1" readingOrder="1"/>
    </xf>
    <xf numFmtId="0" fontId="58" fillId="0" borderId="17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  <xf numFmtId="0" fontId="61" fillId="0" borderId="0" xfId="0" applyFont="1" applyBorder="1" applyAlignment="1">
      <alignment horizontal="right" vertical="center" wrapText="1" readingOrder="1"/>
    </xf>
    <xf numFmtId="0" fontId="61" fillId="0" borderId="0" xfId="0" applyFont="1" applyBorder="1" applyAlignment="1">
      <alignment vertical="center" wrapText="1" readingOrder="1"/>
    </xf>
    <xf numFmtId="0" fontId="56" fillId="0" borderId="0" xfId="0" applyFont="1" applyAlignment="1">
      <alignment horizontal="center" wrapText="1" readingOrder="1"/>
    </xf>
    <xf numFmtId="0" fontId="61" fillId="0" borderId="28" xfId="0" applyFont="1" applyBorder="1" applyAlignment="1">
      <alignment horizontal="center" vertical="top" readingOrder="1"/>
    </xf>
    <xf numFmtId="0" fontId="61" fillId="0" borderId="28" xfId="0" applyFont="1" applyBorder="1" applyAlignment="1">
      <alignment horizontal="left" vertical="top" wrapText="1" readingOrder="1"/>
    </xf>
    <xf numFmtId="170" fontId="61" fillId="0" borderId="28" xfId="0" applyNumberFormat="1" applyFont="1" applyFill="1" applyBorder="1" applyAlignment="1">
      <alignment vertical="top" readingOrder="1"/>
    </xf>
    <xf numFmtId="0" fontId="61" fillId="0" borderId="11" xfId="0" applyFont="1" applyBorder="1" applyAlignment="1">
      <alignment vertical="top" wrapText="1" readingOrder="1"/>
    </xf>
    <xf numFmtId="170" fontId="61" fillId="0" borderId="38" xfId="0" applyNumberFormat="1" applyFont="1" applyFill="1" applyBorder="1" applyAlignment="1">
      <alignment vertical="top" readingOrder="1"/>
    </xf>
    <xf numFmtId="170" fontId="61" fillId="0" borderId="0" xfId="0" applyNumberFormat="1" applyFont="1" applyFill="1" applyBorder="1" applyAlignment="1">
      <alignment vertical="top" readingOrder="1"/>
    </xf>
    <xf numFmtId="0" fontId="61" fillId="0" borderId="28" xfId="0" applyFont="1" applyBorder="1" applyAlignment="1">
      <alignment vertical="top" wrapText="1" readingOrder="1"/>
    </xf>
    <xf numFmtId="170" fontId="61" fillId="0" borderId="28" xfId="0" applyNumberFormat="1" applyFont="1" applyBorder="1" applyAlignment="1">
      <alignment horizontal="center" vertical="top" readingOrder="1"/>
    </xf>
    <xf numFmtId="170" fontId="61" fillId="33" borderId="15" xfId="0" applyNumberFormat="1" applyFont="1" applyFill="1" applyBorder="1" applyAlignment="1">
      <alignment horizontal="left" vertical="center" wrapText="1"/>
    </xf>
    <xf numFmtId="0" fontId="56" fillId="0" borderId="15" xfId="0" applyFont="1" applyBorder="1" applyAlignment="1">
      <alignment readingOrder="1"/>
    </xf>
    <xf numFmtId="49" fontId="61" fillId="0" borderId="10" xfId="0" applyNumberFormat="1" applyFont="1" applyBorder="1" applyAlignment="1">
      <alignment vertical="center" wrapText="1" readingOrder="1"/>
    </xf>
    <xf numFmtId="49" fontId="61" fillId="0" borderId="28" xfId="0" applyNumberFormat="1" applyFont="1" applyBorder="1" applyAlignment="1">
      <alignment vertical="top" wrapText="1" readingOrder="1"/>
    </xf>
    <xf numFmtId="0" fontId="56" fillId="0" borderId="11" xfId="0" applyFont="1" applyBorder="1" applyAlignment="1">
      <alignment readingOrder="1"/>
    </xf>
    <xf numFmtId="49" fontId="61" fillId="0" borderId="51" xfId="0" applyNumberFormat="1" applyFont="1" applyBorder="1" applyAlignment="1">
      <alignment horizontal="left" vertical="top" wrapText="1" readingOrder="1"/>
    </xf>
    <xf numFmtId="49" fontId="61" fillId="0" borderId="38" xfId="0" applyNumberFormat="1" applyFont="1" applyBorder="1" applyAlignment="1">
      <alignment horizontal="center" vertical="top" wrapText="1" readingOrder="1"/>
    </xf>
    <xf numFmtId="0" fontId="58" fillId="0" borderId="45" xfId="0" applyFont="1" applyBorder="1" applyAlignment="1">
      <alignment horizontal="center" vertical="top" wrapText="1"/>
    </xf>
    <xf numFmtId="49" fontId="61" fillId="0" borderId="32" xfId="0" applyNumberFormat="1" applyFont="1" applyBorder="1" applyAlignment="1">
      <alignment horizontal="center" vertical="top" wrapText="1" readingOrder="1"/>
    </xf>
    <xf numFmtId="0" fontId="61" fillId="0" borderId="0" xfId="0" applyFont="1" applyBorder="1" applyAlignment="1">
      <alignment horizontal="center" vertical="top" wrapText="1"/>
    </xf>
    <xf numFmtId="0" fontId="61" fillId="0" borderId="28" xfId="0" applyFont="1" applyFill="1" applyBorder="1" applyAlignment="1">
      <alignment vertical="top" wrapText="1"/>
    </xf>
    <xf numFmtId="0" fontId="61" fillId="0" borderId="10" xfId="0" applyNumberFormat="1" applyFont="1" applyBorder="1" applyAlignment="1">
      <alignment horizontal="center" vertical="center" readingOrder="1"/>
    </xf>
    <xf numFmtId="0" fontId="61" fillId="0" borderId="11" xfId="0" applyFont="1" applyFill="1" applyBorder="1" applyAlignment="1">
      <alignment horizontal="left" vertical="top" wrapText="1" readingOrder="1"/>
    </xf>
    <xf numFmtId="49" fontId="61" fillId="0" borderId="11" xfId="0" applyNumberFormat="1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top" wrapText="1" readingOrder="1"/>
    </xf>
    <xf numFmtId="49" fontId="61" fillId="0" borderId="28" xfId="0" applyNumberFormat="1" applyFont="1" applyBorder="1" applyAlignment="1">
      <alignment vertical="top" wrapText="1"/>
    </xf>
    <xf numFmtId="49" fontId="61" fillId="0" borderId="15" xfId="0" applyNumberFormat="1" applyFont="1" applyBorder="1" applyAlignment="1">
      <alignment vertical="top" wrapText="1"/>
    </xf>
    <xf numFmtId="0" fontId="57" fillId="0" borderId="17" xfId="0" applyFont="1" applyBorder="1" applyAlignment="1">
      <alignment horizontal="center" readingOrder="1"/>
    </xf>
    <xf numFmtId="0" fontId="57" fillId="0" borderId="18" xfId="0" applyFont="1" applyBorder="1" applyAlignment="1">
      <alignment horizontal="center" readingOrder="1"/>
    </xf>
    <xf numFmtId="49" fontId="56" fillId="0" borderId="51" xfId="0" applyNumberFormat="1" applyFont="1" applyBorder="1" applyAlignment="1">
      <alignment readingOrder="1"/>
    </xf>
    <xf numFmtId="0" fontId="58" fillId="0" borderId="11" xfId="0" applyFont="1" applyBorder="1" applyAlignment="1">
      <alignment horizontal="center" vertical="top" wrapText="1"/>
    </xf>
    <xf numFmtId="170" fontId="61" fillId="0" borderId="28" xfId="0" applyNumberFormat="1" applyFont="1" applyBorder="1" applyAlignment="1">
      <alignment horizontal="center" vertical="top" wrapText="1" readingOrder="1"/>
    </xf>
    <xf numFmtId="0" fontId="61" fillId="0" borderId="15" xfId="0" applyFont="1" applyBorder="1" applyAlignment="1">
      <alignment horizontal="center" vertical="top" wrapText="1"/>
    </xf>
    <xf numFmtId="170" fontId="61" fillId="0" borderId="15" xfId="0" applyNumberFormat="1" applyFont="1" applyBorder="1" applyAlignment="1">
      <alignment horizontal="center" vertical="top" wrapText="1" readingOrder="1"/>
    </xf>
    <xf numFmtId="0" fontId="61" fillId="0" borderId="28" xfId="0" applyFont="1" applyBorder="1" applyAlignment="1">
      <alignment horizontal="center" vertical="top" wrapText="1"/>
    </xf>
    <xf numFmtId="49" fontId="61" fillId="0" borderId="11" xfId="0" applyNumberFormat="1" applyFont="1" applyBorder="1" applyAlignment="1">
      <alignment horizontal="center" vertical="top" wrapText="1" readingOrder="1"/>
    </xf>
    <xf numFmtId="49" fontId="61" fillId="0" borderId="28" xfId="0" applyNumberFormat="1" applyFont="1" applyBorder="1" applyAlignment="1">
      <alignment horizontal="center" vertical="top" wrapText="1" readingOrder="1"/>
    </xf>
    <xf numFmtId="49" fontId="61" fillId="0" borderId="15" xfId="0" applyNumberFormat="1" applyFont="1" applyBorder="1" applyAlignment="1">
      <alignment horizontal="center" vertical="top" wrapText="1" readingOrder="1"/>
    </xf>
    <xf numFmtId="0" fontId="61" fillId="0" borderId="11" xfId="0" applyFont="1" applyBorder="1" applyAlignment="1">
      <alignment horizontal="center" vertical="top" wrapText="1" readingOrder="1"/>
    </xf>
    <xf numFmtId="0" fontId="0" fillId="0" borderId="28" xfId="0" applyBorder="1" applyAlignment="1">
      <alignment horizontal="center" vertical="top" wrapText="1"/>
    </xf>
    <xf numFmtId="49" fontId="61" fillId="0" borderId="28" xfId="0" applyNumberFormat="1" applyFont="1" applyBorder="1" applyAlignment="1">
      <alignment horizontal="left" vertical="top" wrapText="1" readingOrder="1"/>
    </xf>
    <xf numFmtId="0" fontId="61" fillId="0" borderId="10" xfId="0" applyFont="1" applyBorder="1" applyAlignment="1">
      <alignment horizontal="center" vertical="top" wrapText="1" readingOrder="1"/>
    </xf>
    <xf numFmtId="2" fontId="58" fillId="0" borderId="10" xfId="0" applyNumberFormat="1" applyFont="1" applyFill="1" applyBorder="1" applyAlignment="1">
      <alignment horizontal="center" vertical="top" wrapText="1"/>
    </xf>
    <xf numFmtId="2" fontId="58" fillId="0" borderId="21" xfId="0" applyNumberFormat="1" applyFont="1" applyFill="1" applyBorder="1" applyAlignment="1">
      <alignment horizontal="center" vertical="top" wrapText="1"/>
    </xf>
    <xf numFmtId="2" fontId="58" fillId="0" borderId="22" xfId="0" applyNumberFormat="1" applyFont="1" applyFill="1" applyBorder="1" applyAlignment="1">
      <alignment horizontal="center" vertical="top" wrapText="1"/>
    </xf>
    <xf numFmtId="2" fontId="58" fillId="0" borderId="23" xfId="0" applyNumberFormat="1" applyFont="1" applyFill="1" applyBorder="1" applyAlignment="1">
      <alignment horizontal="center" vertical="top" wrapText="1"/>
    </xf>
    <xf numFmtId="49" fontId="61" fillId="0" borderId="11" xfId="0" applyNumberFormat="1" applyFont="1" applyBorder="1" applyAlignment="1">
      <alignment vertical="center" wrapText="1" readingOrder="1"/>
    </xf>
    <xf numFmtId="2" fontId="58" fillId="33" borderId="10" xfId="0" applyNumberFormat="1" applyFont="1" applyFill="1" applyBorder="1" applyAlignment="1">
      <alignment horizontal="center" vertical="center" wrapText="1"/>
    </xf>
    <xf numFmtId="2" fontId="61" fillId="33" borderId="10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Border="1" applyAlignment="1">
      <alignment/>
    </xf>
    <xf numFmtId="2" fontId="58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2" fontId="61" fillId="33" borderId="10" xfId="0" applyNumberFormat="1" applyFont="1" applyFill="1" applyBorder="1" applyAlignment="1">
      <alignment horizontal="center" vertical="center"/>
    </xf>
    <xf numFmtId="2" fontId="59" fillId="0" borderId="0" xfId="0" applyNumberFormat="1" applyFont="1" applyAlignment="1">
      <alignment/>
    </xf>
    <xf numFmtId="2" fontId="58" fillId="13" borderId="10" xfId="0" applyNumberFormat="1" applyFont="1" applyFill="1" applyBorder="1" applyAlignment="1">
      <alignment horizontal="center" vertical="center" wrapText="1"/>
    </xf>
    <xf numFmtId="2" fontId="58" fillId="13" borderId="10" xfId="0" applyNumberFormat="1" applyFont="1" applyFill="1" applyBorder="1" applyAlignment="1">
      <alignment horizontal="center" vertical="center"/>
    </xf>
    <xf numFmtId="2" fontId="61" fillId="13" borderId="10" xfId="0" applyNumberFormat="1" applyFont="1" applyFill="1" applyBorder="1" applyAlignment="1">
      <alignment horizontal="center" vertical="center" wrapText="1"/>
    </xf>
    <xf numFmtId="2" fontId="61" fillId="13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readingOrder="1"/>
    </xf>
    <xf numFmtId="2" fontId="58" fillId="34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top" wrapText="1"/>
    </xf>
    <xf numFmtId="2" fontId="61" fillId="0" borderId="21" xfId="0" applyNumberFormat="1" applyFont="1" applyFill="1" applyBorder="1" applyAlignment="1">
      <alignment horizontal="center" vertical="top" wrapText="1"/>
    </xf>
    <xf numFmtId="2" fontId="61" fillId="0" borderId="22" xfId="0" applyNumberFormat="1" applyFont="1" applyFill="1" applyBorder="1" applyAlignment="1">
      <alignment horizontal="center" vertical="top" wrapText="1"/>
    </xf>
    <xf numFmtId="2" fontId="61" fillId="0" borderId="23" xfId="0" applyNumberFormat="1" applyFont="1" applyFill="1" applyBorder="1" applyAlignment="1">
      <alignment horizontal="center" vertical="top" wrapText="1"/>
    </xf>
    <xf numFmtId="2" fontId="58" fillId="0" borderId="28" xfId="0" applyNumberFormat="1" applyFont="1" applyFill="1" applyBorder="1" applyAlignment="1">
      <alignment horizontal="center" vertical="center" wrapText="1" readingOrder="1"/>
    </xf>
    <xf numFmtId="2" fontId="58" fillId="0" borderId="47" xfId="0" applyNumberFormat="1" applyFont="1" applyFill="1" applyBorder="1" applyAlignment="1">
      <alignment horizontal="center" vertical="top" readingOrder="1"/>
    </xf>
    <xf numFmtId="2" fontId="58" fillId="0" borderId="46" xfId="0" applyNumberFormat="1" applyFont="1" applyFill="1" applyBorder="1" applyAlignment="1">
      <alignment horizontal="center" vertical="top" readingOrder="1"/>
    </xf>
    <xf numFmtId="2" fontId="58" fillId="34" borderId="10" xfId="0" applyNumberFormat="1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49" fontId="61" fillId="0" borderId="11" xfId="0" applyNumberFormat="1" applyFont="1" applyBorder="1" applyAlignment="1">
      <alignment horizontal="center" vertical="center" wrapText="1" readingOrder="1"/>
    </xf>
    <xf numFmtId="49" fontId="61" fillId="0" borderId="10" xfId="0" applyNumberFormat="1" applyFont="1" applyBorder="1" applyAlignment="1">
      <alignment horizontal="center" vertic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49" fontId="61" fillId="0" borderId="28" xfId="0" applyNumberFormat="1" applyFont="1" applyFill="1" applyBorder="1" applyAlignment="1">
      <alignment horizontal="center" vertical="center" wrapText="1" readingOrder="1"/>
    </xf>
    <xf numFmtId="2" fontId="58" fillId="0" borderId="42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49" fontId="61" fillId="0" borderId="28" xfId="0" applyNumberFormat="1" applyFont="1" applyBorder="1" applyAlignment="1">
      <alignment horizontal="center" vertical="center" wrapText="1" readingOrder="1"/>
    </xf>
    <xf numFmtId="0" fontId="61" fillId="0" borderId="15" xfId="0" applyFont="1" applyBorder="1" applyAlignment="1">
      <alignment horizontal="center" vertical="top" wrapText="1"/>
    </xf>
    <xf numFmtId="0" fontId="61" fillId="0" borderId="28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61" fillId="0" borderId="11" xfId="0" applyFont="1" applyBorder="1" applyAlignment="1">
      <alignment horizontal="center" vertical="center" wrapText="1"/>
    </xf>
    <xf numFmtId="170" fontId="61" fillId="0" borderId="15" xfId="0" applyNumberFormat="1" applyFont="1" applyBorder="1" applyAlignment="1">
      <alignment horizontal="center" vertical="center" wrapText="1"/>
    </xf>
    <xf numFmtId="170" fontId="61" fillId="0" borderId="28" xfId="0" applyNumberFormat="1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top" wrapText="1"/>
    </xf>
    <xf numFmtId="49" fontId="61" fillId="0" borderId="28" xfId="0" applyNumberFormat="1" applyFont="1" applyBorder="1" applyAlignment="1">
      <alignment horizontal="center" vertical="top" wrapText="1"/>
    </xf>
    <xf numFmtId="49" fontId="61" fillId="0" borderId="15" xfId="0" applyNumberFormat="1" applyFont="1" applyBorder="1" applyAlignment="1">
      <alignment horizontal="center" vertical="top" wrapText="1"/>
    </xf>
    <xf numFmtId="49" fontId="61" fillId="0" borderId="28" xfId="0" applyNumberFormat="1" applyFont="1" applyBorder="1" applyAlignment="1">
      <alignment horizontal="left" vertical="top" wrapText="1"/>
    </xf>
    <xf numFmtId="49" fontId="61" fillId="0" borderId="15" xfId="0" applyNumberFormat="1" applyFont="1" applyBorder="1" applyAlignment="1">
      <alignment horizontal="left" vertical="top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left" vertical="top" wrapText="1"/>
    </xf>
    <xf numFmtId="2" fontId="58" fillId="0" borderId="11" xfId="0" applyNumberFormat="1" applyFont="1" applyBorder="1" applyAlignment="1">
      <alignment horizontal="center" vertical="center" wrapText="1"/>
    </xf>
    <xf numFmtId="2" fontId="61" fillId="0" borderId="28" xfId="0" applyNumberFormat="1" applyFont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2" fontId="61" fillId="33" borderId="28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 wrapText="1"/>
    </xf>
    <xf numFmtId="2" fontId="61" fillId="0" borderId="38" xfId="0" applyNumberFormat="1" applyFont="1" applyBorder="1" applyAlignment="1">
      <alignment horizontal="center" vertical="center" wrapText="1"/>
    </xf>
    <xf numFmtId="2" fontId="58" fillId="0" borderId="52" xfId="0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 readingOrder="1"/>
    </xf>
    <xf numFmtId="2" fontId="58" fillId="0" borderId="11" xfId="0" applyNumberFormat="1" applyFont="1" applyFill="1" applyBorder="1" applyAlignment="1">
      <alignment horizontal="center" vertical="center" wrapText="1" readingOrder="1"/>
    </xf>
    <xf numFmtId="2" fontId="61" fillId="0" borderId="28" xfId="0" applyNumberFormat="1" applyFont="1" applyFill="1" applyBorder="1" applyAlignment="1">
      <alignment horizontal="center" vertical="center" wrapText="1" readingOrder="1"/>
    </xf>
    <xf numFmtId="2" fontId="61" fillId="0" borderId="15" xfId="0" applyNumberFormat="1" applyFont="1" applyFill="1" applyBorder="1" applyAlignment="1">
      <alignment horizontal="center" vertical="center" wrapText="1" readingOrder="1"/>
    </xf>
    <xf numFmtId="2" fontId="58" fillId="0" borderId="43" xfId="0" applyNumberFormat="1" applyFont="1" applyFill="1" applyBorder="1" applyAlignment="1">
      <alignment horizontal="center" vertical="center" wrapText="1"/>
    </xf>
    <xf numFmtId="2" fontId="58" fillId="0" borderId="21" xfId="0" applyNumberFormat="1" applyFont="1" applyFill="1" applyBorder="1" applyAlignment="1">
      <alignment horizontal="center" vertical="center" wrapText="1"/>
    </xf>
    <xf numFmtId="2" fontId="58" fillId="0" borderId="22" xfId="0" applyNumberFormat="1" applyFont="1" applyFill="1" applyBorder="1" applyAlignment="1">
      <alignment horizontal="center" vertical="center" wrapText="1"/>
    </xf>
    <xf numFmtId="2" fontId="58" fillId="0" borderId="23" xfId="0" applyNumberFormat="1" applyFont="1" applyFill="1" applyBorder="1" applyAlignment="1">
      <alignment horizontal="center" vertical="center" wrapText="1"/>
    </xf>
    <xf numFmtId="170" fontId="61" fillId="0" borderId="51" xfId="0" applyNumberFormat="1" applyFont="1" applyBorder="1" applyAlignment="1">
      <alignment horizontal="center" vertical="center" wrapText="1" readingOrder="1"/>
    </xf>
    <xf numFmtId="49" fontId="61" fillId="0" borderId="32" xfId="0" applyNumberFormat="1" applyFont="1" applyBorder="1" applyAlignment="1">
      <alignment vertical="center" wrapText="1" readingOrder="1"/>
    </xf>
    <xf numFmtId="2" fontId="61" fillId="0" borderId="31" xfId="0" applyNumberFormat="1" applyFont="1" applyBorder="1" applyAlignment="1">
      <alignment horizontal="center" vertical="center" wrapText="1"/>
    </xf>
    <xf numFmtId="49" fontId="61" fillId="0" borderId="38" xfId="0" applyNumberFormat="1" applyFont="1" applyFill="1" applyBorder="1" applyAlignment="1">
      <alignment horizontal="center" vertical="center" wrapText="1" readingOrder="1"/>
    </xf>
    <xf numFmtId="2" fontId="61" fillId="0" borderId="28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readingOrder="1"/>
    </xf>
    <xf numFmtId="2" fontId="57" fillId="0" borderId="21" xfId="0" applyNumberFormat="1" applyFont="1" applyBorder="1" applyAlignment="1">
      <alignment horizontal="center" vertical="center" readingOrder="1"/>
    </xf>
    <xf numFmtId="2" fontId="57" fillId="0" borderId="22" xfId="0" applyNumberFormat="1" applyFont="1" applyBorder="1" applyAlignment="1">
      <alignment horizontal="center" vertical="center" readingOrder="1"/>
    </xf>
    <xf numFmtId="2" fontId="57" fillId="0" borderId="23" xfId="0" applyNumberFormat="1" applyFont="1" applyBorder="1" applyAlignment="1">
      <alignment horizontal="center" vertical="center" readingOrder="1"/>
    </xf>
    <xf numFmtId="170" fontId="61" fillId="0" borderId="38" xfId="0" applyNumberFormat="1" applyFont="1" applyBorder="1" applyAlignment="1">
      <alignment horizontal="center" vertical="center" wrapText="1"/>
    </xf>
    <xf numFmtId="2" fontId="61" fillId="0" borderId="29" xfId="0" applyNumberFormat="1" applyFont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 wrapText="1" readingOrder="1"/>
    </xf>
    <xf numFmtId="0" fontId="61" fillId="0" borderId="51" xfId="0" applyFont="1" applyBorder="1" applyAlignment="1">
      <alignment horizontal="center" vertical="top" wrapText="1"/>
    </xf>
    <xf numFmtId="0" fontId="61" fillId="0" borderId="30" xfId="0" applyFont="1" applyBorder="1" applyAlignment="1">
      <alignment horizontal="center" vertical="top" wrapText="1"/>
    </xf>
    <xf numFmtId="0" fontId="56" fillId="0" borderId="0" xfId="0" applyFont="1" applyBorder="1" applyAlignment="1">
      <alignment readingOrder="1"/>
    </xf>
    <xf numFmtId="0" fontId="61" fillId="0" borderId="30" xfId="0" applyFont="1" applyBorder="1" applyAlignment="1">
      <alignment vertical="center" wrapText="1"/>
    </xf>
    <xf numFmtId="2" fontId="58" fillId="0" borderId="15" xfId="0" applyNumberFormat="1" applyFont="1" applyBorder="1" applyAlignment="1">
      <alignment horizontal="center" vertical="center" wrapText="1"/>
    </xf>
    <xf numFmtId="2" fontId="58" fillId="0" borderId="3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vertical="top" wrapText="1"/>
    </xf>
    <xf numFmtId="0" fontId="61" fillId="0" borderId="0" xfId="0" applyFont="1" applyBorder="1" applyAlignment="1">
      <alignment horizontal="center" vertical="center" wrapText="1"/>
    </xf>
    <xf numFmtId="49" fontId="61" fillId="0" borderId="51" xfId="0" applyNumberFormat="1" applyFont="1" applyBorder="1" applyAlignment="1">
      <alignment horizontal="center" vertical="top" wrapText="1"/>
    </xf>
    <xf numFmtId="0" fontId="61" fillId="0" borderId="53" xfId="0" applyFont="1" applyBorder="1" applyAlignment="1">
      <alignment horizontal="center" vertical="center" wrapText="1"/>
    </xf>
    <xf numFmtId="49" fontId="58" fillId="0" borderId="28" xfId="0" applyNumberFormat="1" applyFont="1" applyBorder="1" applyAlignment="1">
      <alignment horizontal="center" vertical="center" wrapText="1"/>
    </xf>
    <xf numFmtId="2" fontId="64" fillId="0" borderId="15" xfId="0" applyNumberFormat="1" applyFont="1" applyBorder="1" applyAlignment="1">
      <alignment horizontal="center" vertical="center" readingOrder="1"/>
    </xf>
    <xf numFmtId="2" fontId="58" fillId="0" borderId="54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 vertical="top" wrapText="1"/>
    </xf>
    <xf numFmtId="49" fontId="61" fillId="0" borderId="31" xfId="0" applyNumberFormat="1" applyFont="1" applyBorder="1" applyAlignment="1">
      <alignment vertical="top" wrapText="1"/>
    </xf>
    <xf numFmtId="49" fontId="61" fillId="0" borderId="38" xfId="0" applyNumberFormat="1" applyFont="1" applyBorder="1" applyAlignment="1">
      <alignment vertical="top" wrapText="1"/>
    </xf>
    <xf numFmtId="49" fontId="61" fillId="0" borderId="29" xfId="0" applyNumberFormat="1" applyFont="1" applyBorder="1" applyAlignment="1">
      <alignment vertical="top" wrapText="1"/>
    </xf>
    <xf numFmtId="49" fontId="56" fillId="0" borderId="28" xfId="0" applyNumberFormat="1" applyFont="1" applyBorder="1" applyAlignment="1">
      <alignment readingOrder="1"/>
    </xf>
    <xf numFmtId="0" fontId="61" fillId="0" borderId="51" xfId="0" applyFont="1" applyBorder="1" applyAlignment="1">
      <alignment horizontal="center" vertical="top" wrapText="1" readingOrder="1"/>
    </xf>
    <xf numFmtId="170" fontId="61" fillId="0" borderId="28" xfId="0" applyNumberFormat="1" applyFont="1" applyFill="1" applyBorder="1" applyAlignment="1">
      <alignment horizontal="center" vertical="top" readingOrder="1"/>
    </xf>
    <xf numFmtId="2" fontId="58" fillId="0" borderId="11" xfId="0" applyNumberFormat="1" applyFont="1" applyFill="1" applyBorder="1" applyAlignment="1">
      <alignment horizontal="center" vertical="center" readingOrder="1"/>
    </xf>
    <xf numFmtId="170" fontId="58" fillId="0" borderId="11" xfId="0" applyNumberFormat="1" applyFont="1" applyFill="1" applyBorder="1" applyAlignment="1">
      <alignment horizontal="center" vertical="center" readingOrder="1"/>
    </xf>
    <xf numFmtId="2" fontId="61" fillId="0" borderId="28" xfId="0" applyNumberFormat="1" applyFont="1" applyFill="1" applyBorder="1" applyAlignment="1">
      <alignment horizontal="center" vertical="center" readingOrder="1"/>
    </xf>
    <xf numFmtId="0" fontId="56" fillId="0" borderId="0" xfId="0" applyNumberFormat="1" applyFont="1" applyAlignment="1">
      <alignment horizontal="center" vertical="center" readingOrder="1"/>
    </xf>
    <xf numFmtId="0" fontId="56" fillId="0" borderId="15" xfId="0" applyFont="1" applyBorder="1" applyAlignment="1">
      <alignment horizontal="center" vertical="center" readingOrder="1"/>
    </xf>
    <xf numFmtId="0" fontId="56" fillId="0" borderId="10" xfId="0" applyFont="1" applyBorder="1" applyAlignment="1">
      <alignment horizontal="center" vertical="center" readingOrder="1"/>
    </xf>
    <xf numFmtId="170" fontId="56" fillId="0" borderId="10" xfId="0" applyNumberFormat="1" applyFont="1" applyBorder="1" applyAlignment="1">
      <alignment horizontal="center" vertical="center" readingOrder="1"/>
    </xf>
    <xf numFmtId="2" fontId="61" fillId="0" borderId="10" xfId="0" applyNumberFormat="1" applyFont="1" applyFill="1" applyBorder="1" applyAlignment="1">
      <alignment horizontal="center" vertical="center" readingOrder="1"/>
    </xf>
    <xf numFmtId="0" fontId="65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2" fontId="58" fillId="33" borderId="49" xfId="0" applyNumberFormat="1" applyFont="1" applyFill="1" applyBorder="1" applyAlignment="1">
      <alignment horizontal="left" vertical="center"/>
    </xf>
    <xf numFmtId="2" fontId="58" fillId="33" borderId="52" xfId="0" applyNumberFormat="1" applyFont="1" applyFill="1" applyBorder="1" applyAlignment="1">
      <alignment horizontal="left" vertical="center"/>
    </xf>
    <xf numFmtId="2" fontId="58" fillId="33" borderId="32" xfId="0" applyNumberFormat="1" applyFont="1" applyFill="1" applyBorder="1" applyAlignment="1">
      <alignment horizontal="left" vertical="center"/>
    </xf>
    <xf numFmtId="2" fontId="61" fillId="33" borderId="10" xfId="0" applyNumberFormat="1" applyFont="1" applyFill="1" applyBorder="1" applyAlignment="1">
      <alignment horizontal="center" vertical="center" wrapText="1"/>
    </xf>
    <xf numFmtId="2" fontId="61" fillId="13" borderId="10" xfId="0" applyNumberFormat="1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left"/>
    </xf>
    <xf numFmtId="0" fontId="58" fillId="33" borderId="52" xfId="0" applyFont="1" applyFill="1" applyBorder="1" applyAlignment="1">
      <alignment horizontal="left"/>
    </xf>
    <xf numFmtId="0" fontId="58" fillId="33" borderId="32" xfId="0" applyFont="1" applyFill="1" applyBorder="1" applyAlignment="1">
      <alignment horizontal="left"/>
    </xf>
    <xf numFmtId="2" fontId="67" fillId="33" borderId="10" xfId="0" applyNumberFormat="1" applyFont="1" applyFill="1" applyBorder="1" applyAlignment="1">
      <alignment horizontal="center" vertical="center" wrapText="1"/>
    </xf>
    <xf numFmtId="170" fontId="61" fillId="13" borderId="51" xfId="0" applyNumberFormat="1" applyFont="1" applyFill="1" applyBorder="1" applyAlignment="1">
      <alignment horizontal="center" vertical="center" wrapText="1"/>
    </xf>
    <xf numFmtId="170" fontId="61" fillId="13" borderId="38" xfId="0" applyNumberFormat="1" applyFont="1" applyFill="1" applyBorder="1" applyAlignment="1">
      <alignment horizontal="center" vertical="center" wrapText="1"/>
    </xf>
    <xf numFmtId="170" fontId="67" fillId="33" borderId="10" xfId="0" applyNumberFormat="1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170" fontId="61" fillId="33" borderId="10" xfId="0" applyNumberFormat="1" applyFont="1" applyFill="1" applyBorder="1" applyAlignment="1">
      <alignment horizontal="center" vertical="center" wrapText="1"/>
    </xf>
    <xf numFmtId="170" fontId="58" fillId="33" borderId="49" xfId="0" applyNumberFormat="1" applyFont="1" applyFill="1" applyBorder="1" applyAlignment="1">
      <alignment horizontal="left" vertical="center"/>
    </xf>
    <xf numFmtId="170" fontId="58" fillId="33" borderId="52" xfId="0" applyNumberFormat="1" applyFont="1" applyFill="1" applyBorder="1" applyAlignment="1">
      <alignment horizontal="left" vertical="center"/>
    </xf>
    <xf numFmtId="170" fontId="58" fillId="33" borderId="32" xfId="0" applyNumberFormat="1" applyFont="1" applyFill="1" applyBorder="1" applyAlignment="1">
      <alignment horizontal="left" vertical="center"/>
    </xf>
    <xf numFmtId="170" fontId="61" fillId="0" borderId="49" xfId="0" applyNumberFormat="1" applyFont="1" applyBorder="1" applyAlignment="1">
      <alignment horizontal="center" vertical="top" wrapText="1"/>
    </xf>
    <xf numFmtId="170" fontId="61" fillId="0" borderId="52" xfId="0" applyNumberFormat="1" applyFont="1" applyBorder="1" applyAlignment="1">
      <alignment horizontal="center" vertical="top" wrapText="1"/>
    </xf>
    <xf numFmtId="170" fontId="61" fillId="0" borderId="32" xfId="0" applyNumberFormat="1" applyFont="1" applyBorder="1" applyAlignment="1">
      <alignment horizontal="center" vertical="top" wrapText="1"/>
    </xf>
    <xf numFmtId="0" fontId="65" fillId="33" borderId="51" xfId="0" applyFont="1" applyFill="1" applyBorder="1" applyAlignment="1">
      <alignment horizontal="center" vertical="center" wrapText="1"/>
    </xf>
    <xf numFmtId="0" fontId="66" fillId="33" borderId="51" xfId="0" applyFont="1" applyFill="1" applyBorder="1" applyAlignment="1">
      <alignment horizontal="center" vertical="top" wrapText="1"/>
    </xf>
    <xf numFmtId="0" fontId="66" fillId="33" borderId="30" xfId="0" applyFont="1" applyFill="1" applyBorder="1" applyAlignment="1">
      <alignment horizontal="center" vertical="top" wrapText="1"/>
    </xf>
    <xf numFmtId="0" fontId="66" fillId="33" borderId="53" xfId="0" applyFont="1" applyFill="1" applyBorder="1" applyAlignment="1">
      <alignment horizontal="center" vertical="top" wrapText="1"/>
    </xf>
    <xf numFmtId="49" fontId="61" fillId="0" borderId="11" xfId="0" applyNumberFormat="1" applyFont="1" applyBorder="1" applyAlignment="1">
      <alignment horizontal="center" vertical="top" wrapText="1" readingOrder="1"/>
    </xf>
    <xf numFmtId="0" fontId="0" fillId="0" borderId="28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top" wrapText="1"/>
    </xf>
    <xf numFmtId="49" fontId="61" fillId="0" borderId="28" xfId="0" applyNumberFormat="1" applyFont="1" applyBorder="1" applyAlignment="1">
      <alignment horizontal="center" vertical="top" wrapText="1" readingOrder="1"/>
    </xf>
    <xf numFmtId="49" fontId="61" fillId="0" borderId="15" xfId="0" applyNumberFormat="1" applyFont="1" applyBorder="1" applyAlignment="1">
      <alignment horizontal="center" vertical="top" wrapText="1" readingOrder="1"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49" fontId="0" fillId="0" borderId="10" xfId="0" applyNumberFormat="1" applyFill="1" applyBorder="1" applyAlignment="1">
      <alignment horizontal="center" vertical="center" wrapText="1" readingOrder="1"/>
    </xf>
    <xf numFmtId="49" fontId="61" fillId="0" borderId="11" xfId="0" applyNumberFormat="1" applyFont="1" applyBorder="1" applyAlignment="1">
      <alignment horizontal="center" vertical="center" wrapText="1" readingOrder="1"/>
    </xf>
    <xf numFmtId="0" fontId="0" fillId="0" borderId="28" xfId="0" applyBorder="1" applyAlignment="1">
      <alignment horizontal="center" vertic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49" fontId="61" fillId="0" borderId="15" xfId="0" applyNumberFormat="1" applyFont="1" applyFill="1" applyBorder="1" applyAlignment="1">
      <alignment horizontal="center" vertical="center" wrapText="1" readingOrder="1"/>
    </xf>
    <xf numFmtId="49" fontId="61" fillId="0" borderId="15" xfId="0" applyNumberFormat="1" applyFont="1" applyBorder="1" applyAlignment="1">
      <alignment horizontal="center" vertical="center" wrapText="1" readingOrder="1"/>
    </xf>
    <xf numFmtId="49" fontId="61" fillId="0" borderId="10" xfId="0" applyNumberFormat="1" applyFont="1" applyBorder="1" applyAlignment="1">
      <alignment horizontal="center" vertical="top" wrapText="1" readingOrder="1"/>
    </xf>
    <xf numFmtId="49" fontId="61" fillId="0" borderId="11" xfId="0" applyNumberFormat="1" applyFont="1" applyBorder="1" applyAlignment="1">
      <alignment horizontal="left" vertical="center" wrapText="1" readingOrder="1"/>
    </xf>
    <xf numFmtId="49" fontId="61" fillId="0" borderId="15" xfId="0" applyNumberFormat="1" applyFont="1" applyBorder="1" applyAlignment="1">
      <alignment horizontal="left" vertical="center" wrapText="1" readingOrder="1"/>
    </xf>
    <xf numFmtId="0" fontId="61" fillId="0" borderId="32" xfId="0" applyFont="1" applyFill="1" applyBorder="1" applyAlignment="1">
      <alignment horizontal="left" vertical="center" wrapText="1" readingOrder="1"/>
    </xf>
    <xf numFmtId="49" fontId="61" fillId="0" borderId="11" xfId="0" applyNumberFormat="1" applyFont="1" applyBorder="1" applyAlignment="1">
      <alignment horizontal="left" vertical="top" wrapText="1" readingOrder="1"/>
    </xf>
    <xf numFmtId="49" fontId="61" fillId="0" borderId="28" xfId="0" applyNumberFormat="1" applyFont="1" applyBorder="1" applyAlignment="1">
      <alignment horizontal="left" vertical="top" wrapText="1" readingOrder="1"/>
    </xf>
    <xf numFmtId="0" fontId="0" fillId="0" borderId="28" xfId="0" applyBorder="1" applyAlignment="1">
      <alignment wrapText="1" readingOrder="1"/>
    </xf>
    <xf numFmtId="0" fontId="0" fillId="0" borderId="15" xfId="0" applyBorder="1" applyAlignment="1">
      <alignment wrapText="1" readingOrder="1"/>
    </xf>
    <xf numFmtId="49" fontId="61" fillId="0" borderId="10" xfId="0" applyNumberFormat="1" applyFont="1" applyFill="1" applyBorder="1" applyAlignment="1">
      <alignment horizontal="left" vertical="center" wrapText="1" readingOrder="1"/>
    </xf>
    <xf numFmtId="49" fontId="58" fillId="0" borderId="49" xfId="0" applyNumberFormat="1" applyFont="1" applyBorder="1" applyAlignment="1">
      <alignment horizontal="left" vertical="center" wrapText="1" readingOrder="1"/>
    </xf>
    <xf numFmtId="49" fontId="58" fillId="0" borderId="52" xfId="0" applyNumberFormat="1" applyFont="1" applyBorder="1" applyAlignment="1">
      <alignment horizontal="left" vertical="center" wrapText="1" readingOrder="1"/>
    </xf>
    <xf numFmtId="49" fontId="58" fillId="0" borderId="32" xfId="0" applyNumberFormat="1" applyFont="1" applyBorder="1" applyAlignment="1">
      <alignment horizontal="left" vertical="center" wrapText="1" readingOrder="1"/>
    </xf>
    <xf numFmtId="49" fontId="61" fillId="0" borderId="10" xfId="0" applyNumberFormat="1" applyFont="1" applyBorder="1" applyAlignment="1">
      <alignment horizontal="left" vertical="center" wrapText="1" readingOrder="1"/>
    </xf>
    <xf numFmtId="0" fontId="61" fillId="0" borderId="49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58" fillId="0" borderId="16" xfId="0" applyFont="1" applyFill="1" applyBorder="1" applyAlignment="1">
      <alignment horizontal="left" vertical="top" wrapText="1"/>
    </xf>
    <xf numFmtId="0" fontId="58" fillId="0" borderId="17" xfId="0" applyFont="1" applyFill="1" applyBorder="1" applyAlignment="1">
      <alignment horizontal="left" vertical="top" wrapText="1"/>
    </xf>
    <xf numFmtId="0" fontId="61" fillId="0" borderId="28" xfId="0" applyFont="1" applyBorder="1" applyAlignment="1">
      <alignment horizontal="center" vertical="top" wrapText="1" readingOrder="1"/>
    </xf>
    <xf numFmtId="0" fontId="61" fillId="0" borderId="15" xfId="0" applyFont="1" applyBorder="1" applyAlignment="1">
      <alignment horizontal="center" vertical="top" wrapText="1" readingOrder="1"/>
    </xf>
    <xf numFmtId="49" fontId="61" fillId="0" borderId="11" xfId="0" applyNumberFormat="1" applyFont="1" applyFill="1" applyBorder="1" applyAlignment="1">
      <alignment horizontal="center" vertical="top" wrapText="1" readingOrder="1"/>
    </xf>
    <xf numFmtId="0" fontId="0" fillId="0" borderId="28" xfId="0" applyFill="1" applyBorder="1" applyAlignment="1">
      <alignment horizontal="center" wrapText="1" readingOrder="1"/>
    </xf>
    <xf numFmtId="0" fontId="0" fillId="0" borderId="15" xfId="0" applyFill="1" applyBorder="1" applyAlignment="1">
      <alignment horizontal="center" wrapText="1" readingOrder="1"/>
    </xf>
    <xf numFmtId="49" fontId="58" fillId="0" borderId="30" xfId="0" applyNumberFormat="1" applyFont="1" applyBorder="1" applyAlignment="1">
      <alignment horizontal="left" vertical="center" wrapText="1" readingOrder="1"/>
    </xf>
    <xf numFmtId="49" fontId="58" fillId="0" borderId="53" xfId="0" applyNumberFormat="1" applyFont="1" applyBorder="1" applyAlignment="1">
      <alignment horizontal="left" vertical="center" wrapText="1" readingOrder="1"/>
    </xf>
    <xf numFmtId="49" fontId="58" fillId="0" borderId="29" xfId="0" applyNumberFormat="1" applyFont="1" applyBorder="1" applyAlignment="1">
      <alignment horizontal="left" vertical="center" wrapText="1" readingOrder="1"/>
    </xf>
    <xf numFmtId="2" fontId="61" fillId="0" borderId="15" xfId="0" applyNumberFormat="1" applyFont="1" applyBorder="1" applyAlignment="1">
      <alignment horizontal="center" vertical="center" wrapText="1" readingOrder="1"/>
    </xf>
    <xf numFmtId="2" fontId="61" fillId="0" borderId="10" xfId="0" applyNumberFormat="1" applyFont="1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 readingOrder="1"/>
    </xf>
    <xf numFmtId="49" fontId="61" fillId="0" borderId="10" xfId="0" applyNumberFormat="1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 vertical="center" wrapText="1" readingOrder="1"/>
    </xf>
    <xf numFmtId="0" fontId="0" fillId="0" borderId="28" xfId="0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 wrapText="1" readingOrder="1"/>
    </xf>
    <xf numFmtId="49" fontId="61" fillId="0" borderId="10" xfId="0" applyNumberFormat="1" applyFont="1" applyFill="1" applyBorder="1" applyAlignment="1">
      <alignment horizontal="left" vertical="top" wrapText="1" readingOrder="1"/>
    </xf>
    <xf numFmtId="0" fontId="0" fillId="0" borderId="10" xfId="0" applyFill="1" applyBorder="1" applyAlignment="1">
      <alignment horizontal="left" wrapText="1" readingOrder="1"/>
    </xf>
    <xf numFmtId="0" fontId="0" fillId="0" borderId="10" xfId="0" applyFill="1" applyBorder="1" applyAlignment="1">
      <alignment wrapText="1"/>
    </xf>
    <xf numFmtId="49" fontId="61" fillId="0" borderId="11" xfId="0" applyNumberFormat="1" applyFont="1" applyFill="1" applyBorder="1" applyAlignment="1">
      <alignment horizontal="left" vertical="top" wrapText="1" readingOrder="1"/>
    </xf>
    <xf numFmtId="0" fontId="0" fillId="0" borderId="28" xfId="0" applyFill="1" applyBorder="1" applyAlignment="1">
      <alignment wrapText="1" readingOrder="1"/>
    </xf>
    <xf numFmtId="0" fontId="0" fillId="0" borderId="15" xfId="0" applyFill="1" applyBorder="1" applyAlignment="1">
      <alignment wrapText="1" readingOrder="1"/>
    </xf>
    <xf numFmtId="0" fontId="61" fillId="0" borderId="28" xfId="0" applyFont="1" applyBorder="1" applyAlignment="1">
      <alignment horizontal="center" vertical="top" wrapText="1"/>
    </xf>
    <xf numFmtId="2" fontId="61" fillId="0" borderId="28" xfId="0" applyNumberFormat="1" applyFont="1" applyBorder="1" applyAlignment="1">
      <alignment horizontal="center" vertical="center" wrapText="1" readingOrder="1"/>
    </xf>
    <xf numFmtId="2" fontId="61" fillId="0" borderId="28" xfId="0" applyNumberFormat="1" applyFont="1" applyFill="1" applyBorder="1" applyAlignment="1">
      <alignment horizontal="center" vertical="center" wrapText="1" readingOrder="1"/>
    </xf>
    <xf numFmtId="0" fontId="58" fillId="0" borderId="10" xfId="0" applyFont="1" applyBorder="1" applyAlignment="1">
      <alignment horizontal="center" vertical="top" wrapText="1"/>
    </xf>
    <xf numFmtId="0" fontId="58" fillId="0" borderId="49" xfId="0" applyFont="1" applyBorder="1" applyAlignment="1">
      <alignment horizontal="center" vertical="top" wrapText="1"/>
    </xf>
    <xf numFmtId="0" fontId="58" fillId="0" borderId="52" xfId="0" applyFont="1" applyBorder="1" applyAlignment="1">
      <alignment horizontal="center" vertical="top" wrapText="1"/>
    </xf>
    <xf numFmtId="0" fontId="58" fillId="0" borderId="32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0" fillId="0" borderId="28" xfId="0" applyBorder="1" applyAlignment="1">
      <alignment horizontal="center" wrapText="1" readingOrder="1"/>
    </xf>
    <xf numFmtId="0" fontId="0" fillId="0" borderId="15" xfId="0" applyBorder="1" applyAlignment="1">
      <alignment horizontal="center" wrapText="1" readingOrder="1"/>
    </xf>
    <xf numFmtId="0" fontId="0" fillId="0" borderId="28" xfId="0" applyBorder="1" applyAlignment="1">
      <alignment horizontal="left" wrapText="1" readingOrder="1"/>
    </xf>
    <xf numFmtId="0" fontId="0" fillId="0" borderId="15" xfId="0" applyBorder="1" applyAlignment="1">
      <alignment horizontal="left" wrapText="1" readingOrder="1"/>
    </xf>
    <xf numFmtId="0" fontId="61" fillId="0" borderId="11" xfId="0" applyFont="1" applyBorder="1" applyAlignment="1">
      <alignment horizontal="center" vertical="top" wrapText="1" readingOrder="1"/>
    </xf>
    <xf numFmtId="0" fontId="61" fillId="0" borderId="15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0" fillId="0" borderId="28" xfId="0" applyBorder="1" applyAlignment="1">
      <alignment horizontal="center" vertical="top" wrapText="1"/>
    </xf>
    <xf numFmtId="0" fontId="61" fillId="0" borderId="0" xfId="0" applyFont="1" applyBorder="1" applyAlignment="1">
      <alignment horizontal="right" vertical="top" wrapText="1" readingOrder="1"/>
    </xf>
    <xf numFmtId="0" fontId="68" fillId="0" borderId="0" xfId="0" applyFont="1" applyBorder="1" applyAlignment="1">
      <alignment horizontal="right" vertical="top" wrapText="1" readingOrder="1"/>
    </xf>
    <xf numFmtId="0" fontId="69" fillId="0" borderId="0" xfId="0" applyFont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70" fontId="61" fillId="0" borderId="10" xfId="0" applyNumberFormat="1" applyFont="1" applyBorder="1" applyAlignment="1">
      <alignment horizontal="center" vertical="center" wrapText="1" readingOrder="1"/>
    </xf>
    <xf numFmtId="0" fontId="61" fillId="0" borderId="32" xfId="0" applyFont="1" applyBorder="1" applyAlignment="1">
      <alignment horizontal="left" vertical="center" wrapText="1" readingOrder="1"/>
    </xf>
    <xf numFmtId="0" fontId="0" fillId="0" borderId="32" xfId="0" applyBorder="1" applyAlignment="1">
      <alignment horizontal="left" vertical="center" wrapText="1" readingOrder="1"/>
    </xf>
    <xf numFmtId="0" fontId="61" fillId="0" borderId="10" xfId="0" applyFont="1" applyBorder="1" applyAlignment="1">
      <alignment horizontal="left" vertical="center" wrapText="1" readingOrder="1"/>
    </xf>
    <xf numFmtId="0" fontId="0" fillId="0" borderId="10" xfId="0" applyBorder="1" applyAlignment="1">
      <alignment horizontal="left" vertical="center" wrapText="1" readingOrder="1"/>
    </xf>
    <xf numFmtId="49" fontId="6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61" fillId="0" borderId="49" xfId="0" applyFont="1" applyBorder="1" applyAlignment="1">
      <alignment horizontal="left" vertical="center" wrapText="1" readingOrder="1"/>
    </xf>
    <xf numFmtId="0" fontId="0" fillId="0" borderId="49" xfId="0" applyBorder="1" applyAlignment="1">
      <alignment horizontal="left" vertical="center" wrapText="1" readingOrder="1"/>
    </xf>
    <xf numFmtId="0" fontId="58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170" fontId="58" fillId="0" borderId="42" xfId="0" applyNumberFormat="1" applyFont="1" applyBorder="1" applyAlignment="1">
      <alignment horizontal="center" vertical="center" wrapText="1"/>
    </xf>
    <xf numFmtId="170" fontId="58" fillId="0" borderId="10" xfId="0" applyNumberFormat="1" applyFont="1" applyBorder="1" applyAlignment="1">
      <alignment horizontal="center" vertical="center" wrapText="1"/>
    </xf>
    <xf numFmtId="170" fontId="58" fillId="0" borderId="43" xfId="0" applyNumberFormat="1" applyFont="1" applyBorder="1" applyAlignment="1">
      <alignment horizontal="center" vertical="center" wrapText="1"/>
    </xf>
    <xf numFmtId="170" fontId="58" fillId="0" borderId="21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 readingOrder="1"/>
    </xf>
    <xf numFmtId="0" fontId="0" fillId="0" borderId="15" xfId="0" applyBorder="1" applyAlignment="1">
      <alignment vertical="center" wrapText="1" readingOrder="1"/>
    </xf>
    <xf numFmtId="170" fontId="61" fillId="0" borderId="11" xfId="0" applyNumberFormat="1" applyFont="1" applyBorder="1" applyAlignment="1">
      <alignment horizontal="center" vertical="center" wrapText="1" readingOrder="1"/>
    </xf>
    <xf numFmtId="170" fontId="61" fillId="0" borderId="15" xfId="0" applyNumberFormat="1" applyFont="1" applyBorder="1" applyAlignment="1">
      <alignment horizontal="center" vertical="center" wrapText="1" readingOrder="1"/>
    </xf>
    <xf numFmtId="0" fontId="61" fillId="0" borderId="11" xfId="0" applyFont="1" applyBorder="1" applyAlignment="1">
      <alignment horizontal="center" vertical="center" wrapText="1"/>
    </xf>
    <xf numFmtId="170" fontId="61" fillId="0" borderId="28" xfId="0" applyNumberFormat="1" applyFont="1" applyBorder="1" applyAlignment="1">
      <alignment horizontal="center" vertical="center" wrapText="1" readingOrder="1"/>
    </xf>
    <xf numFmtId="170" fontId="61" fillId="0" borderId="10" xfId="0" applyNumberFormat="1" applyFont="1" applyBorder="1" applyAlignment="1">
      <alignment horizontal="center" vertical="center" wrapText="1"/>
    </xf>
    <xf numFmtId="170" fontId="61" fillId="0" borderId="11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70" fontId="61" fillId="34" borderId="11" xfId="0" applyNumberFormat="1" applyFont="1" applyFill="1" applyBorder="1" applyAlignment="1">
      <alignment horizontal="center" vertical="center" wrapText="1" readingOrder="1"/>
    </xf>
    <xf numFmtId="170" fontId="61" fillId="34" borderId="15" xfId="0" applyNumberFormat="1" applyFont="1" applyFill="1" applyBorder="1" applyAlignment="1">
      <alignment horizontal="center" vertical="center" wrapText="1" readingOrder="1"/>
    </xf>
    <xf numFmtId="0" fontId="61" fillId="0" borderId="49" xfId="0" applyFont="1" applyBorder="1" applyAlignment="1">
      <alignment horizontal="center" vertical="top" wrapText="1"/>
    </xf>
    <xf numFmtId="0" fontId="0" fillId="0" borderId="17" xfId="0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wrapText="1" readingOrder="1"/>
    </xf>
    <xf numFmtId="0" fontId="0" fillId="0" borderId="10" xfId="0" applyBorder="1" applyAlignment="1">
      <alignment wrapText="1"/>
    </xf>
    <xf numFmtId="0" fontId="6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center" wrapText="1" readingOrder="1"/>
    </xf>
    <xf numFmtId="0" fontId="61" fillId="0" borderId="31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 readingOrder="1"/>
    </xf>
    <xf numFmtId="0" fontId="61" fillId="0" borderId="15" xfId="0" applyFont="1" applyBorder="1" applyAlignment="1">
      <alignment horizontal="center" vertical="center" wrapText="1" readingOrder="1"/>
    </xf>
    <xf numFmtId="49" fontId="61" fillId="0" borderId="31" xfId="0" applyNumberFormat="1" applyFont="1" applyBorder="1" applyAlignment="1">
      <alignment horizontal="center" vertical="top" wrapText="1" readingOrder="1"/>
    </xf>
    <xf numFmtId="49" fontId="61" fillId="0" borderId="29" xfId="0" applyNumberFormat="1" applyFont="1" applyBorder="1" applyAlignment="1">
      <alignment horizontal="center" vertical="top" wrapText="1" readingOrder="1"/>
    </xf>
    <xf numFmtId="170" fontId="61" fillId="0" borderId="15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61" fillId="0" borderId="11" xfId="0" applyFont="1" applyBorder="1" applyAlignment="1">
      <alignment horizontal="left" vertical="center" wrapText="1" readingOrder="1"/>
    </xf>
    <xf numFmtId="0" fontId="61" fillId="0" borderId="28" xfId="0" applyFont="1" applyBorder="1" applyAlignment="1">
      <alignment horizontal="left" vertical="center" wrapText="1" readingOrder="1"/>
    </xf>
    <xf numFmtId="0" fontId="61" fillId="0" borderId="15" xfId="0" applyFont="1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15" xfId="0" applyBorder="1" applyAlignment="1">
      <alignment horizontal="center" vertical="top" wrapText="1"/>
    </xf>
    <xf numFmtId="0" fontId="58" fillId="0" borderId="11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170" fontId="58" fillId="0" borderId="11" xfId="0" applyNumberFormat="1" applyFont="1" applyBorder="1" applyAlignment="1">
      <alignment horizontal="center" vertical="center" wrapText="1" readingOrder="1"/>
    </xf>
    <xf numFmtId="170" fontId="58" fillId="0" borderId="28" xfId="0" applyNumberFormat="1" applyFont="1" applyBorder="1" applyAlignment="1">
      <alignment horizontal="center" vertical="center" wrapText="1" readingOrder="1"/>
    </xf>
    <xf numFmtId="170" fontId="58" fillId="0" borderId="15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top" wrapText="1" readingOrder="1"/>
    </xf>
    <xf numFmtId="0" fontId="0" fillId="0" borderId="28" xfId="0" applyBorder="1" applyAlignment="1">
      <alignment horizontal="left" vertical="top" wrapText="1" readingOrder="1"/>
    </xf>
    <xf numFmtId="9" fontId="61" fillId="0" borderId="10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170" fontId="61" fillId="33" borderId="28" xfId="0" applyNumberFormat="1" applyFont="1" applyFill="1" applyBorder="1" applyAlignment="1">
      <alignment horizontal="center" vertical="center" wrapText="1"/>
    </xf>
    <xf numFmtId="170" fontId="61" fillId="33" borderId="15" xfId="0" applyNumberFormat="1" applyFont="1" applyFill="1" applyBorder="1" applyAlignment="1">
      <alignment horizontal="center" vertical="center" wrapText="1"/>
    </xf>
    <xf numFmtId="170" fontId="61" fillId="0" borderId="28" xfId="0" applyNumberFormat="1" applyFont="1" applyBorder="1" applyAlignment="1">
      <alignment horizontal="center" vertical="center" wrapText="1"/>
    </xf>
    <xf numFmtId="170" fontId="61" fillId="33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1" fillId="0" borderId="1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1" fillId="0" borderId="1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170" fontId="58" fillId="33" borderId="11" xfId="0" applyNumberFormat="1" applyFont="1" applyFill="1" applyBorder="1" applyAlignment="1">
      <alignment horizontal="center" vertical="center" wrapText="1" readingOrder="1"/>
    </xf>
    <xf numFmtId="170" fontId="58" fillId="33" borderId="28" xfId="0" applyNumberFormat="1" applyFont="1" applyFill="1" applyBorder="1" applyAlignment="1">
      <alignment horizontal="center" vertical="center" wrapText="1" readingOrder="1"/>
    </xf>
    <xf numFmtId="170" fontId="58" fillId="33" borderId="15" xfId="0" applyNumberFormat="1" applyFont="1" applyFill="1" applyBorder="1" applyAlignment="1">
      <alignment horizontal="center" vertical="center" wrapText="1" readingOrder="1"/>
    </xf>
    <xf numFmtId="170" fontId="61" fillId="33" borderId="11" xfId="0" applyNumberFormat="1" applyFont="1" applyFill="1" applyBorder="1" applyAlignment="1">
      <alignment horizontal="center" vertical="center" wrapText="1" readingOrder="1"/>
    </xf>
    <xf numFmtId="170" fontId="61" fillId="33" borderId="15" xfId="0" applyNumberFormat="1" applyFont="1" applyFill="1" applyBorder="1" applyAlignment="1">
      <alignment horizontal="center" vertical="center" wrapText="1" readingOrder="1"/>
    </xf>
    <xf numFmtId="0" fontId="61" fillId="0" borderId="45" xfId="0" applyFont="1" applyBorder="1" applyAlignment="1">
      <alignment horizontal="left" vertical="center" wrapText="1" readingOrder="1"/>
    </xf>
    <xf numFmtId="0" fontId="61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49" xfId="0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 readingOrder="1"/>
    </xf>
    <xf numFmtId="0" fontId="61" fillId="0" borderId="11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 readingOrder="1"/>
    </xf>
    <xf numFmtId="0" fontId="0" fillId="0" borderId="10" xfId="0" applyFill="1" applyBorder="1" applyAlignment="1">
      <alignment horizontal="center" vertical="center" wrapText="1" readingOrder="1"/>
    </xf>
    <xf numFmtId="49" fontId="61" fillId="0" borderId="28" xfId="0" applyNumberFormat="1" applyFont="1" applyFill="1" applyBorder="1" applyAlignment="1">
      <alignment horizontal="center" vertical="top" wrapText="1" readingOrder="1"/>
    </xf>
    <xf numFmtId="0" fontId="0" fillId="0" borderId="15" xfId="0" applyFill="1" applyBorder="1" applyAlignment="1">
      <alignment horizontal="center" vertical="top" wrapText="1" readingOrder="1"/>
    </xf>
    <xf numFmtId="0" fontId="61" fillId="0" borderId="28" xfId="0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170" fontId="58" fillId="0" borderId="11" xfId="0" applyNumberFormat="1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horizontal="left" vertical="center" wrapText="1" readingOrder="1"/>
    </xf>
    <xf numFmtId="0" fontId="0" fillId="0" borderId="28" xfId="0" applyFill="1" applyBorder="1" applyAlignment="1">
      <alignment horizontal="left" vertical="center" wrapText="1" readingOrder="1"/>
    </xf>
    <xf numFmtId="0" fontId="0" fillId="0" borderId="15" xfId="0" applyFill="1" applyBorder="1" applyAlignment="1">
      <alignment horizontal="left" vertical="center" wrapText="1" readingOrder="1"/>
    </xf>
    <xf numFmtId="0" fontId="61" fillId="0" borderId="11" xfId="0" applyFont="1" applyFill="1" applyBorder="1" applyAlignment="1">
      <alignment horizontal="center" vertical="center" wrapText="1" readingOrder="1"/>
    </xf>
    <xf numFmtId="0" fontId="61" fillId="0" borderId="28" xfId="0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0" fontId="0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49" fontId="61" fillId="0" borderId="11" xfId="0" applyNumberFormat="1" applyFont="1" applyFill="1" applyBorder="1" applyAlignment="1">
      <alignment horizontal="left" vertical="center" wrapText="1" readingOrder="1"/>
    </xf>
    <xf numFmtId="49" fontId="61" fillId="0" borderId="28" xfId="0" applyNumberFormat="1" applyFont="1" applyFill="1" applyBorder="1" applyAlignment="1">
      <alignment horizontal="center" vertical="center" wrapText="1" readingOrder="1"/>
    </xf>
    <xf numFmtId="170" fontId="61" fillId="0" borderId="11" xfId="0" applyNumberFormat="1" applyFont="1" applyFill="1" applyBorder="1" applyAlignment="1">
      <alignment horizontal="center" vertical="center" wrapText="1" readingOrder="1"/>
    </xf>
    <xf numFmtId="170" fontId="61" fillId="0" borderId="28" xfId="0" applyNumberFormat="1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top" wrapText="1"/>
    </xf>
    <xf numFmtId="49" fontId="61" fillId="0" borderId="11" xfId="0" applyNumberFormat="1" applyFont="1" applyBorder="1" applyAlignment="1">
      <alignment vertical="top" wrapText="1" readingOrder="1"/>
    </xf>
    <xf numFmtId="0" fontId="0" fillId="0" borderId="15" xfId="0" applyBorder="1" applyAlignment="1">
      <alignment vertical="top" wrapText="1" readingOrder="1"/>
    </xf>
    <xf numFmtId="49" fontId="61" fillId="0" borderId="11" xfId="0" applyNumberFormat="1" applyFont="1" applyFill="1" applyBorder="1" applyAlignment="1">
      <alignment vertical="top" wrapText="1" readingOrder="1"/>
    </xf>
    <xf numFmtId="49" fontId="61" fillId="0" borderId="15" xfId="0" applyNumberFormat="1" applyFont="1" applyFill="1" applyBorder="1" applyAlignment="1">
      <alignment horizontal="center" vertical="top" wrapText="1" readingOrder="1"/>
    </xf>
    <xf numFmtId="0" fontId="0" fillId="0" borderId="28" xfId="0" applyBorder="1" applyAlignment="1">
      <alignment vertical="top" wrapText="1" readingOrder="1"/>
    </xf>
    <xf numFmtId="49" fontId="0" fillId="0" borderId="28" xfId="0" applyNumberFormat="1" applyFill="1" applyBorder="1" applyAlignment="1">
      <alignment horizontal="center" vertical="center" wrapText="1" readingOrder="1"/>
    </xf>
    <xf numFmtId="49" fontId="0" fillId="0" borderId="15" xfId="0" applyNumberFormat="1" applyFill="1" applyBorder="1" applyAlignment="1">
      <alignment horizontal="center" vertical="center" wrapText="1" readingOrder="1"/>
    </xf>
    <xf numFmtId="49" fontId="61" fillId="0" borderId="28" xfId="0" applyNumberFormat="1" applyFont="1" applyFill="1" applyBorder="1" applyAlignment="1">
      <alignment horizontal="left" vertical="top" wrapText="1" readingOrder="1"/>
    </xf>
    <xf numFmtId="0" fontId="0" fillId="0" borderId="28" xfId="0" applyFill="1" applyBorder="1" applyAlignment="1">
      <alignment horizontal="left" vertical="top" wrapText="1" readingOrder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170" fontId="58" fillId="0" borderId="28" xfId="0" applyNumberFormat="1" applyFont="1" applyFill="1" applyBorder="1" applyAlignment="1">
      <alignment horizontal="center" vertical="center" wrapText="1" readingOrder="1"/>
    </xf>
    <xf numFmtId="170" fontId="58" fillId="0" borderId="15" xfId="0" applyNumberFormat="1" applyFont="1" applyFill="1" applyBorder="1" applyAlignment="1">
      <alignment horizontal="center" vertical="center" wrapText="1" readingOrder="1"/>
    </xf>
    <xf numFmtId="49" fontId="61" fillId="0" borderId="28" xfId="0" applyNumberFormat="1" applyFont="1" applyFill="1" applyBorder="1" applyAlignment="1">
      <alignment horizontal="left" vertical="center" wrapText="1" readingOrder="1"/>
    </xf>
    <xf numFmtId="0" fontId="0" fillId="0" borderId="28" xfId="0" applyFill="1" applyBorder="1" applyAlignment="1">
      <alignment horizontal="center" vertical="top" wrapText="1" readingOrder="1"/>
    </xf>
    <xf numFmtId="0" fontId="61" fillId="0" borderId="15" xfId="0" applyFont="1" applyFill="1" applyBorder="1" applyAlignment="1">
      <alignment horizontal="center" vertical="center" wrapText="1"/>
    </xf>
    <xf numFmtId="170" fontId="61" fillId="0" borderId="15" xfId="0" applyNumberFormat="1" applyFont="1" applyFill="1" applyBorder="1" applyAlignment="1">
      <alignment horizontal="center" vertical="center" wrapText="1" readingOrder="1"/>
    </xf>
    <xf numFmtId="9" fontId="61" fillId="0" borderId="10" xfId="0" applyNumberFormat="1" applyFont="1" applyFill="1" applyBorder="1" applyAlignment="1">
      <alignment horizontal="center" vertical="center" wrapText="1" readingOrder="1"/>
    </xf>
    <xf numFmtId="170" fontId="61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 readingOrder="1"/>
    </xf>
    <xf numFmtId="170" fontId="61" fillId="0" borderId="11" xfId="0" applyNumberFormat="1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left" vertical="center" wrapText="1"/>
    </xf>
    <xf numFmtId="170" fontId="58" fillId="0" borderId="11" xfId="0" applyNumberFormat="1" applyFont="1" applyFill="1" applyBorder="1" applyAlignment="1">
      <alignment horizontal="center" vertical="center" wrapText="1"/>
    </xf>
    <xf numFmtId="170" fontId="58" fillId="0" borderId="28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1" fillId="0" borderId="28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 readingOrder="1"/>
    </xf>
    <xf numFmtId="170" fontId="61" fillId="0" borderId="10" xfId="0" applyNumberFormat="1" applyFont="1" applyFill="1" applyBorder="1" applyAlignment="1">
      <alignment horizontal="center" vertical="center" wrapText="1" readingOrder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top" wrapText="1"/>
    </xf>
    <xf numFmtId="170" fontId="58" fillId="0" borderId="42" xfId="0" applyNumberFormat="1" applyFont="1" applyFill="1" applyBorder="1" applyAlignment="1">
      <alignment horizontal="center" vertical="center" wrapText="1"/>
    </xf>
    <xf numFmtId="170" fontId="58" fillId="0" borderId="10" xfId="0" applyNumberFormat="1" applyFont="1" applyFill="1" applyBorder="1" applyAlignment="1">
      <alignment horizontal="center" vertical="center" wrapText="1"/>
    </xf>
    <xf numFmtId="170" fontId="58" fillId="0" borderId="43" xfId="0" applyNumberFormat="1" applyFont="1" applyFill="1" applyBorder="1" applyAlignment="1">
      <alignment horizontal="center" vertical="center" wrapText="1"/>
    </xf>
    <xf numFmtId="170" fontId="58" fillId="0" borderId="21" xfId="0" applyNumberFormat="1" applyFont="1" applyFill="1" applyBorder="1" applyAlignment="1">
      <alignment horizontal="center" vertical="center" wrapText="1"/>
    </xf>
    <xf numFmtId="9" fontId="61" fillId="0" borderId="10" xfId="0" applyNumberFormat="1" applyFont="1" applyFill="1" applyBorder="1" applyAlignment="1">
      <alignment horizontal="center" vertical="center" wrapText="1"/>
    </xf>
    <xf numFmtId="49" fontId="58" fillId="0" borderId="51" xfId="0" applyNumberFormat="1" applyFont="1" applyFill="1" applyBorder="1" applyAlignment="1">
      <alignment horizontal="left" vertical="center" wrapText="1" readingOrder="1"/>
    </xf>
    <xf numFmtId="49" fontId="58" fillId="0" borderId="0" xfId="0" applyNumberFormat="1" applyFont="1" applyFill="1" applyBorder="1" applyAlignment="1">
      <alignment horizontal="left" vertical="center" wrapText="1" readingOrder="1"/>
    </xf>
    <xf numFmtId="49" fontId="58" fillId="0" borderId="38" xfId="0" applyNumberFormat="1" applyFont="1" applyFill="1" applyBorder="1" applyAlignment="1">
      <alignment horizontal="left" vertical="center" wrapText="1" readingOrder="1"/>
    </xf>
    <xf numFmtId="0" fontId="0" fillId="0" borderId="28" xfId="0" applyFill="1" applyBorder="1" applyAlignment="1">
      <alignment vertical="center" wrapText="1" readingOrder="1"/>
    </xf>
    <xf numFmtId="0" fontId="0" fillId="0" borderId="15" xfId="0" applyFill="1" applyBorder="1" applyAlignment="1">
      <alignment vertical="center" wrapText="1" readingOrder="1"/>
    </xf>
    <xf numFmtId="0" fontId="61" fillId="0" borderId="10" xfId="0" applyFont="1" applyBorder="1" applyAlignment="1">
      <alignment horizontal="center" vertical="top" wrapText="1" readingOrder="1"/>
    </xf>
    <xf numFmtId="0" fontId="61" fillId="0" borderId="11" xfId="0" applyFont="1" applyFill="1" applyBorder="1" applyAlignment="1">
      <alignment horizontal="left" vertical="top" wrapText="1" readingOrder="1"/>
    </xf>
    <xf numFmtId="0" fontId="61" fillId="0" borderId="15" xfId="0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wrapText="1"/>
    </xf>
    <xf numFmtId="0" fontId="0" fillId="0" borderId="15" xfId="0" applyFill="1" applyBorder="1" applyAlignment="1">
      <alignment wrapText="1"/>
    </xf>
    <xf numFmtId="170" fontId="58" fillId="0" borderId="10" xfId="0" applyNumberFormat="1" applyFont="1" applyFill="1" applyBorder="1" applyAlignment="1">
      <alignment horizontal="center" vertical="center" wrapText="1" readingOrder="1"/>
    </xf>
    <xf numFmtId="49" fontId="61" fillId="0" borderId="11" xfId="58" applyNumberFormat="1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vertical="top" wrapText="1"/>
    </xf>
    <xf numFmtId="0" fontId="61" fillId="0" borderId="14" xfId="0" applyFont="1" applyFill="1" applyBorder="1" applyAlignment="1">
      <alignment horizontal="center" vertical="top" wrapText="1"/>
    </xf>
    <xf numFmtId="0" fontId="61" fillId="0" borderId="31" xfId="0" applyFont="1" applyFill="1" applyBorder="1" applyAlignment="1">
      <alignment horizontal="left" vertical="center" wrapText="1" readingOrder="1"/>
    </xf>
    <xf numFmtId="0" fontId="61" fillId="0" borderId="38" xfId="0" applyFont="1" applyFill="1" applyBorder="1" applyAlignment="1">
      <alignment horizontal="left" vertical="center" wrapText="1" readingOrder="1"/>
    </xf>
    <xf numFmtId="0" fontId="61" fillId="0" borderId="29" xfId="0" applyFont="1" applyFill="1" applyBorder="1" applyAlignment="1">
      <alignment horizontal="left" vertical="center" wrapText="1" readingOrder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170" fontId="58" fillId="34" borderId="42" xfId="0" applyNumberFormat="1" applyFont="1" applyFill="1" applyBorder="1" applyAlignment="1">
      <alignment horizontal="center" vertical="center" wrapText="1"/>
    </xf>
    <xf numFmtId="170" fontId="58" fillId="34" borderId="10" xfId="0" applyNumberFormat="1" applyFont="1" applyFill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left" vertical="top" wrapText="1"/>
    </xf>
    <xf numFmtId="49" fontId="61" fillId="0" borderId="28" xfId="0" applyNumberFormat="1" applyFont="1" applyBorder="1" applyAlignment="1">
      <alignment horizontal="left" vertical="top" wrapText="1"/>
    </xf>
    <xf numFmtId="0" fontId="61" fillId="0" borderId="51" xfId="0" applyFont="1" applyBorder="1" applyAlignment="1">
      <alignment horizontal="center" vertical="top" wrapText="1"/>
    </xf>
    <xf numFmtId="2" fontId="61" fillId="0" borderId="28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28" xfId="0" applyNumberFormat="1" applyFont="1" applyBorder="1" applyAlignment="1">
      <alignment horizontal="center" vertical="center" wrapText="1"/>
    </xf>
    <xf numFmtId="49" fontId="61" fillId="0" borderId="15" xfId="0" applyNumberFormat="1" applyFont="1" applyBorder="1" applyAlignment="1">
      <alignment horizontal="center" vertical="center" wrapText="1"/>
    </xf>
    <xf numFmtId="49" fontId="58" fillId="0" borderId="49" xfId="0" applyNumberFormat="1" applyFont="1" applyBorder="1" applyAlignment="1">
      <alignment vertical="top" wrapText="1"/>
    </xf>
    <xf numFmtId="49" fontId="58" fillId="0" borderId="52" xfId="0" applyNumberFormat="1" applyFont="1" applyBorder="1" applyAlignment="1">
      <alignment vertical="top" wrapText="1"/>
    </xf>
    <xf numFmtId="49" fontId="58" fillId="0" borderId="45" xfId="0" applyNumberFormat="1" applyFont="1" applyBorder="1" applyAlignment="1">
      <alignment vertical="top" wrapText="1"/>
    </xf>
    <xf numFmtId="49" fontId="58" fillId="0" borderId="32" xfId="0" applyNumberFormat="1" applyFont="1" applyBorder="1" applyAlignment="1">
      <alignment vertical="top" wrapText="1"/>
    </xf>
    <xf numFmtId="0" fontId="0" fillId="0" borderId="28" xfId="0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49" fontId="58" fillId="0" borderId="11" xfId="0" applyNumberFormat="1" applyFont="1" applyBorder="1" applyAlignment="1">
      <alignment horizontal="left" vertical="top" wrapText="1"/>
    </xf>
    <xf numFmtId="1" fontId="61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top" wrapText="1"/>
    </xf>
    <xf numFmtId="49" fontId="61" fillId="0" borderId="28" xfId="0" applyNumberFormat="1" applyFont="1" applyBorder="1" applyAlignment="1">
      <alignment horizontal="center" vertical="top" wrapText="1"/>
    </xf>
    <xf numFmtId="49" fontId="61" fillId="0" borderId="15" xfId="0" applyNumberFormat="1" applyFont="1" applyBorder="1" applyAlignment="1">
      <alignment horizontal="center" vertical="top" wrapText="1"/>
    </xf>
    <xf numFmtId="49" fontId="61" fillId="0" borderId="15" xfId="0" applyNumberFormat="1" applyFont="1" applyBorder="1" applyAlignment="1">
      <alignment horizontal="left" vertical="top" wrapText="1"/>
    </xf>
    <xf numFmtId="49" fontId="61" fillId="0" borderId="11" xfId="0" applyNumberFormat="1" applyFont="1" applyBorder="1" applyAlignment="1">
      <alignment horizontal="left" vertical="center" wrapText="1"/>
    </xf>
    <xf numFmtId="0" fontId="0" fillId="0" borderId="2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1" fillId="0" borderId="14" xfId="0" applyFont="1" applyBorder="1" applyAlignment="1">
      <alignment horizontal="center" vertical="top" wrapText="1"/>
    </xf>
    <xf numFmtId="0" fontId="0" fillId="0" borderId="5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1" fontId="61" fillId="0" borderId="11" xfId="0" applyNumberFormat="1" applyFont="1" applyBorder="1" applyAlignment="1">
      <alignment horizontal="center" vertical="center" wrapText="1" readingOrder="1"/>
    </xf>
    <xf numFmtId="49" fontId="58" fillId="0" borderId="15" xfId="0" applyNumberFormat="1" applyFont="1" applyBorder="1" applyAlignment="1">
      <alignment horizontal="left" vertical="top" wrapText="1"/>
    </xf>
    <xf numFmtId="49" fontId="58" fillId="0" borderId="28" xfId="0" applyNumberFormat="1" applyFont="1" applyBorder="1" applyAlignment="1">
      <alignment horizontal="left" vertical="top" wrapText="1"/>
    </xf>
    <xf numFmtId="170" fontId="61" fillId="0" borderId="3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49" fontId="58" fillId="0" borderId="38" xfId="0" applyNumberFormat="1" applyFont="1" applyBorder="1" applyAlignment="1">
      <alignment horizontal="left" vertical="top" wrapText="1"/>
    </xf>
    <xf numFmtId="0" fontId="61" fillId="0" borderId="11" xfId="0" applyNumberFormat="1" applyFont="1" applyBorder="1" applyAlignment="1">
      <alignment horizontal="center" vertical="center" wrapText="1" readingOrder="1"/>
    </xf>
    <xf numFmtId="0" fontId="61" fillId="0" borderId="28" xfId="0" applyNumberFormat="1" applyFont="1" applyBorder="1" applyAlignment="1">
      <alignment horizontal="center" vertical="center" wrapText="1" readingOrder="1"/>
    </xf>
    <xf numFmtId="0" fontId="61" fillId="0" borderId="15" xfId="0" applyNumberFormat="1" applyFont="1" applyBorder="1" applyAlignment="1">
      <alignment horizontal="center" vertical="center" wrapText="1" readingOrder="1"/>
    </xf>
    <xf numFmtId="0" fontId="61" fillId="0" borderId="11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/>
    </xf>
    <xf numFmtId="0" fontId="58" fillId="0" borderId="15" xfId="0" applyFont="1" applyBorder="1" applyAlignment="1">
      <alignment vertical="top" wrapText="1"/>
    </xf>
    <xf numFmtId="0" fontId="61" fillId="0" borderId="30" xfId="0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61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170" fontId="61" fillId="0" borderId="28" xfId="0" applyNumberFormat="1" applyFont="1" applyBorder="1" applyAlignment="1">
      <alignment horizontal="center" vertical="top" wrapText="1"/>
    </xf>
    <xf numFmtId="170" fontId="61" fillId="0" borderId="15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2" fontId="61" fillId="0" borderId="38" xfId="0" applyNumberFormat="1" applyFont="1" applyBorder="1" applyAlignment="1">
      <alignment horizontal="center" vertical="center" wrapText="1"/>
    </xf>
    <xf numFmtId="0" fontId="61" fillId="0" borderId="28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top" wrapText="1"/>
    </xf>
    <xf numFmtId="0" fontId="61" fillId="0" borderId="28" xfId="0" applyFont="1" applyBorder="1" applyAlignment="1">
      <alignment horizontal="left" vertical="top" wrapText="1"/>
    </xf>
    <xf numFmtId="0" fontId="61" fillId="0" borderId="31" xfId="0" applyFont="1" applyBorder="1" applyAlignment="1">
      <alignment horizontal="left" vertical="top" wrapText="1"/>
    </xf>
    <xf numFmtId="0" fontId="0" fillId="0" borderId="3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left" vertical="top" wrapText="1"/>
    </xf>
    <xf numFmtId="0" fontId="0" fillId="0" borderId="38" xfId="0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1" fillId="0" borderId="11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170" fontId="6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61" fillId="0" borderId="50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left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 readingOrder="1"/>
    </xf>
    <xf numFmtId="0" fontId="61" fillId="0" borderId="10" xfId="0" applyFont="1" applyFill="1" applyBorder="1" applyAlignment="1">
      <alignment horizontal="center" vertical="top" wrapText="1" readingOrder="1"/>
    </xf>
    <xf numFmtId="0" fontId="61" fillId="0" borderId="11" xfId="0" applyFont="1" applyFill="1" applyBorder="1" applyAlignment="1">
      <alignment horizontal="center" vertical="top" wrapText="1" readingOrder="1"/>
    </xf>
    <xf numFmtId="170" fontId="58" fillId="0" borderId="42" xfId="0" applyNumberFormat="1" applyFont="1" applyFill="1" applyBorder="1" applyAlignment="1">
      <alignment horizontal="center" vertical="top" wrapText="1"/>
    </xf>
    <xf numFmtId="170" fontId="58" fillId="0" borderId="10" xfId="0" applyNumberFormat="1" applyFont="1" applyFill="1" applyBorder="1" applyAlignment="1">
      <alignment horizontal="center" vertical="top" wrapText="1"/>
    </xf>
    <xf numFmtId="170" fontId="58" fillId="0" borderId="43" xfId="0" applyNumberFormat="1" applyFont="1" applyFill="1" applyBorder="1" applyAlignment="1">
      <alignment horizontal="center" vertical="top" wrapText="1"/>
    </xf>
    <xf numFmtId="170" fontId="58" fillId="0" borderId="21" xfId="0" applyNumberFormat="1" applyFont="1" applyFill="1" applyBorder="1" applyAlignment="1">
      <alignment horizontal="center" vertical="top" wrapText="1"/>
    </xf>
    <xf numFmtId="0" fontId="61" fillId="0" borderId="29" xfId="0" applyFont="1" applyFill="1" applyBorder="1" applyAlignment="1">
      <alignment horizontal="center" vertical="top" wrapText="1"/>
    </xf>
    <xf numFmtId="0" fontId="61" fillId="0" borderId="32" xfId="0" applyFont="1" applyFill="1" applyBorder="1" applyAlignment="1">
      <alignment horizontal="center" vertical="top" wrapText="1"/>
    </xf>
    <xf numFmtId="0" fontId="61" fillId="0" borderId="31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 readingOrder="1"/>
    </xf>
    <xf numFmtId="0" fontId="0" fillId="0" borderId="51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0" fillId="0" borderId="10" xfId="0" applyFill="1" applyBorder="1" applyAlignment="1">
      <alignment horizontal="center" vertical="top" wrapText="1" readingOrder="1"/>
    </xf>
    <xf numFmtId="0" fontId="58" fillId="0" borderId="49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left" vertical="top" wrapText="1" readingOrder="1"/>
    </xf>
    <xf numFmtId="0" fontId="61" fillId="0" borderId="45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0" fontId="58" fillId="0" borderId="49" xfId="0" applyFont="1" applyFill="1" applyBorder="1" applyAlignment="1">
      <alignment horizontal="left" vertical="top" wrapText="1" readingOrder="1"/>
    </xf>
    <xf numFmtId="0" fontId="58" fillId="0" borderId="52" xfId="0" applyFont="1" applyFill="1" applyBorder="1" applyAlignment="1">
      <alignment horizontal="left" vertical="top" wrapText="1" readingOrder="1"/>
    </xf>
    <xf numFmtId="0" fontId="58" fillId="0" borderId="53" xfId="0" applyFont="1" applyFill="1" applyBorder="1" applyAlignment="1">
      <alignment horizontal="left" vertical="top" wrapText="1" readingOrder="1"/>
    </xf>
    <xf numFmtId="0" fontId="58" fillId="0" borderId="32" xfId="0" applyFont="1" applyFill="1" applyBorder="1" applyAlignment="1">
      <alignment horizontal="left" vertical="top" wrapText="1" readingOrder="1"/>
    </xf>
    <xf numFmtId="0" fontId="61" fillId="0" borderId="10" xfId="0" applyFont="1" applyFill="1" applyBorder="1" applyAlignment="1">
      <alignment horizontal="left" vertical="top" wrapText="1" readingOrder="1"/>
    </xf>
    <xf numFmtId="0" fontId="0" fillId="0" borderId="10" xfId="0" applyFill="1" applyBorder="1" applyAlignment="1">
      <alignment vertical="top" wrapText="1" readingOrder="1"/>
    </xf>
    <xf numFmtId="170" fontId="58" fillId="0" borderId="41" xfId="0" applyNumberFormat="1" applyFont="1" applyFill="1" applyBorder="1" applyAlignment="1">
      <alignment horizontal="center" vertical="top" wrapText="1"/>
    </xf>
    <xf numFmtId="170" fontId="58" fillId="0" borderId="54" xfId="0" applyNumberFormat="1" applyFont="1" applyFill="1" applyBorder="1" applyAlignment="1">
      <alignment horizontal="center" vertical="top" wrapText="1"/>
    </xf>
    <xf numFmtId="170" fontId="58" fillId="0" borderId="39" xfId="0" applyNumberFormat="1" applyFont="1" applyFill="1" applyBorder="1" applyAlignment="1">
      <alignment horizontal="center" vertical="top" wrapText="1"/>
    </xf>
    <xf numFmtId="170" fontId="58" fillId="0" borderId="15" xfId="0" applyNumberFormat="1" applyFon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 readingOrder="1"/>
    </xf>
    <xf numFmtId="0" fontId="61" fillId="0" borderId="31" xfId="0" applyFont="1" applyFill="1" applyBorder="1" applyAlignment="1">
      <alignment horizontal="center" vertical="top" wrapText="1" readingOrder="1"/>
    </xf>
    <xf numFmtId="0" fontId="0" fillId="0" borderId="38" xfId="0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58" fillId="0" borderId="30" xfId="0" applyFont="1" applyFill="1" applyBorder="1" applyAlignment="1">
      <alignment horizontal="left" vertical="top" wrapText="1" readingOrder="1"/>
    </xf>
    <xf numFmtId="0" fontId="58" fillId="0" borderId="29" xfId="0" applyFont="1" applyFill="1" applyBorder="1" applyAlignment="1">
      <alignment horizontal="left" vertical="top" wrapText="1" readingOrder="1"/>
    </xf>
    <xf numFmtId="0" fontId="61" fillId="0" borderId="14" xfId="0" applyFont="1" applyFill="1" applyBorder="1" applyAlignment="1">
      <alignment horizontal="left" vertical="top" wrapText="1" readingOrder="1"/>
    </xf>
    <xf numFmtId="0" fontId="0" fillId="0" borderId="51" xfId="0" applyFill="1" applyBorder="1" applyAlignment="1">
      <alignment horizontal="left" vertical="top" wrapText="1" readingOrder="1"/>
    </xf>
    <xf numFmtId="0" fontId="0" fillId="0" borderId="30" xfId="0" applyFill="1" applyBorder="1" applyAlignment="1">
      <alignment horizontal="left" vertical="top" wrapText="1" readingOrder="1"/>
    </xf>
    <xf numFmtId="49" fontId="0" fillId="0" borderId="28" xfId="0" applyNumberForma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left" vertical="top" wrapText="1" readingOrder="1"/>
    </xf>
    <xf numFmtId="0" fontId="61" fillId="0" borderId="10" xfId="0" applyFont="1" applyFill="1" applyBorder="1" applyAlignment="1">
      <alignment horizontal="center" vertical="center" wrapText="1" readingOrder="1"/>
    </xf>
    <xf numFmtId="0" fontId="61" fillId="0" borderId="28" xfId="0" applyFont="1" applyFill="1" applyBorder="1" applyAlignment="1">
      <alignment horizontal="center" vertical="top" wrapText="1" readingOrder="1"/>
    </xf>
    <xf numFmtId="0" fontId="61" fillId="0" borderId="15" xfId="0" applyFont="1" applyFill="1" applyBorder="1" applyAlignment="1">
      <alignment horizontal="left" vertical="top" wrapText="1" readingOrder="1"/>
    </xf>
    <xf numFmtId="49" fontId="61" fillId="0" borderId="10" xfId="0" applyNumberFormat="1" applyFont="1" applyFill="1" applyBorder="1" applyAlignment="1">
      <alignment horizontal="center" vertical="top" wrapText="1" readingOrder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61" fillId="0" borderId="0" xfId="0" applyFont="1" applyFill="1" applyBorder="1" applyAlignment="1">
      <alignment horizontal="right" vertical="top" wrapText="1" readingOrder="1"/>
    </xf>
    <xf numFmtId="0" fontId="69" fillId="0" borderId="0" xfId="0" applyFont="1" applyFill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0" fontId="58" fillId="0" borderId="52" xfId="0" applyFont="1" applyFill="1" applyBorder="1" applyAlignment="1">
      <alignment horizontal="center" vertical="top" wrapText="1"/>
    </xf>
    <xf numFmtId="0" fontId="58" fillId="0" borderId="32" xfId="0" applyFont="1" applyFill="1" applyBorder="1" applyAlignment="1">
      <alignment horizontal="center" vertical="top" wrapText="1"/>
    </xf>
    <xf numFmtId="0" fontId="58" fillId="0" borderId="12" xfId="0" applyFont="1" applyBorder="1" applyAlignment="1">
      <alignment vertical="top" wrapText="1"/>
    </xf>
    <xf numFmtId="0" fontId="58" fillId="0" borderId="55" xfId="0" applyFont="1" applyBorder="1" applyAlignment="1">
      <alignment vertical="top" wrapText="1"/>
    </xf>
    <xf numFmtId="0" fontId="61" fillId="0" borderId="56" xfId="0" applyFont="1" applyBorder="1" applyAlignment="1">
      <alignment horizontal="center" vertical="top" wrapText="1"/>
    </xf>
    <xf numFmtId="0" fontId="61" fillId="0" borderId="57" xfId="0" applyFont="1" applyBorder="1" applyAlignment="1">
      <alignment horizontal="center" vertical="top" wrapText="1"/>
    </xf>
    <xf numFmtId="170" fontId="58" fillId="0" borderId="58" xfId="0" applyNumberFormat="1" applyFont="1" applyBorder="1" applyAlignment="1">
      <alignment horizontal="center" vertical="top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59" xfId="0" applyNumberFormat="1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33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41" xfId="0" applyNumberFormat="1" applyFont="1" applyBorder="1" applyAlignment="1">
      <alignment horizontal="center" vertical="top" wrapText="1"/>
    </xf>
    <xf numFmtId="170" fontId="58" fillId="0" borderId="54" xfId="0" applyNumberFormat="1" applyFont="1" applyBorder="1" applyAlignment="1">
      <alignment horizontal="center" vertical="top" wrapText="1"/>
    </xf>
    <xf numFmtId="170" fontId="58" fillId="0" borderId="39" xfId="0" applyNumberFormat="1" applyFont="1" applyBorder="1" applyAlignment="1">
      <alignment horizontal="center" vertical="top" wrapText="1"/>
    </xf>
    <xf numFmtId="170" fontId="58" fillId="0" borderId="15" xfId="0" applyNumberFormat="1" applyFont="1" applyBorder="1" applyAlignment="1">
      <alignment horizontal="center" vertical="top" wrapText="1"/>
    </xf>
    <xf numFmtId="0" fontId="58" fillId="0" borderId="10" xfId="0" applyNumberFormat="1" applyFont="1" applyBorder="1" applyAlignment="1" applyProtection="1">
      <alignment horizontal="left" vertical="top" wrapText="1"/>
      <protection locked="0"/>
    </xf>
    <xf numFmtId="0" fontId="58" fillId="0" borderId="40" xfId="0" applyFont="1" applyBorder="1" applyAlignment="1">
      <alignment horizontal="center" vertical="top" wrapText="1"/>
    </xf>
    <xf numFmtId="0" fontId="58" fillId="0" borderId="60" xfId="0" applyFont="1" applyBorder="1" applyAlignment="1">
      <alignment horizontal="center" vertical="top" wrapText="1"/>
    </xf>
    <xf numFmtId="49" fontId="61" fillId="0" borderId="11" xfId="0" applyNumberFormat="1" applyFont="1" applyBorder="1" applyAlignment="1">
      <alignment horizontal="center" vertical="top" readingOrder="1"/>
    </xf>
    <xf numFmtId="49" fontId="61" fillId="0" borderId="28" xfId="0" applyNumberFormat="1" applyFont="1" applyBorder="1" applyAlignment="1">
      <alignment horizontal="center" vertical="top" readingOrder="1"/>
    </xf>
    <xf numFmtId="49" fontId="61" fillId="0" borderId="15" xfId="0" applyNumberFormat="1" applyFont="1" applyBorder="1" applyAlignment="1">
      <alignment horizontal="center" vertical="top" readingOrder="1"/>
    </xf>
    <xf numFmtId="49" fontId="61" fillId="0" borderId="15" xfId="0" applyNumberFormat="1" applyFont="1" applyBorder="1" applyAlignment="1">
      <alignment horizontal="left" vertical="top" wrapText="1" readingOrder="1"/>
    </xf>
    <xf numFmtId="49" fontId="61" fillId="0" borderId="14" xfId="0" applyNumberFormat="1" applyFont="1" applyBorder="1" applyAlignment="1">
      <alignment horizontal="center" vertical="top" wrapText="1" readingOrder="1"/>
    </xf>
    <xf numFmtId="49" fontId="61" fillId="0" borderId="30" xfId="0" applyNumberFormat="1" applyFont="1" applyBorder="1" applyAlignment="1">
      <alignment horizontal="center" vertical="top" wrapText="1" readingOrder="1"/>
    </xf>
    <xf numFmtId="0" fontId="61" fillId="0" borderId="31" xfId="0" applyFont="1" applyBorder="1" applyAlignment="1">
      <alignment horizontal="center" vertical="top" wrapText="1"/>
    </xf>
    <xf numFmtId="0" fontId="61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68" fillId="0" borderId="0" xfId="0" applyFont="1" applyBorder="1" applyAlignment="1">
      <alignment horizontal="right" vertical="center" wrapText="1" readingOrder="1"/>
    </xf>
    <xf numFmtId="0" fontId="58" fillId="0" borderId="52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2" fontId="58" fillId="33" borderId="42" xfId="0" applyNumberFormat="1" applyFont="1" applyFill="1" applyBorder="1" applyAlignment="1">
      <alignment horizontal="center" vertical="center" wrapText="1"/>
    </xf>
    <xf numFmtId="2" fontId="58" fillId="33" borderId="22" xfId="0" applyNumberFormat="1" applyFont="1" applyFill="1" applyBorder="1" applyAlignment="1">
      <alignment horizontal="center" vertical="center" wrapText="1"/>
    </xf>
    <xf numFmtId="2" fontId="58" fillId="33" borderId="43" xfId="0" applyNumberFormat="1" applyFont="1" applyFill="1" applyBorder="1" applyAlignment="1">
      <alignment horizontal="center" vertical="center" wrapText="1"/>
    </xf>
    <xf numFmtId="2" fontId="58" fillId="33" borderId="23" xfId="0" applyNumberFormat="1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top" wrapText="1"/>
    </xf>
    <xf numFmtId="0" fontId="58" fillId="0" borderId="18" xfId="0" applyFont="1" applyBorder="1" applyAlignment="1">
      <alignment horizontal="left" vertical="top" wrapText="1"/>
    </xf>
    <xf numFmtId="0" fontId="0" fillId="0" borderId="28" xfId="0" applyBorder="1" applyAlignment="1">
      <alignment vertical="top"/>
    </xf>
    <xf numFmtId="0" fontId="0" fillId="0" borderId="15" xfId="0" applyBorder="1" applyAlignment="1">
      <alignment vertical="top"/>
    </xf>
    <xf numFmtId="0" fontId="58" fillId="0" borderId="11" xfId="0" applyFont="1" applyBorder="1" applyAlignment="1">
      <alignment horizontal="left" vertical="top" wrapText="1" readingOrder="1"/>
    </xf>
    <xf numFmtId="0" fontId="58" fillId="0" borderId="28" xfId="0" applyFont="1" applyBorder="1" applyAlignment="1">
      <alignment horizontal="left" vertical="top" wrapText="1" readingOrder="1"/>
    </xf>
    <xf numFmtId="0" fontId="61" fillId="0" borderId="14" xfId="0" applyFont="1" applyBorder="1" applyAlignment="1">
      <alignment horizontal="center" vertical="top" wrapText="1" readingOrder="1"/>
    </xf>
    <xf numFmtId="0" fontId="61" fillId="0" borderId="51" xfId="0" applyFont="1" applyBorder="1" applyAlignment="1">
      <alignment horizontal="center" vertical="top" wrapText="1" readingOrder="1"/>
    </xf>
    <xf numFmtId="0" fontId="0" fillId="0" borderId="51" xfId="0" applyBorder="1" applyAlignment="1">
      <alignment horizontal="center" wrapText="1" readingOrder="1"/>
    </xf>
    <xf numFmtId="0" fontId="0" fillId="0" borderId="30" xfId="0" applyBorder="1" applyAlignment="1">
      <alignment horizontal="center" wrapText="1" readingOrder="1"/>
    </xf>
    <xf numFmtId="0" fontId="61" fillId="0" borderId="0" xfId="0" applyFont="1" applyBorder="1" applyAlignment="1">
      <alignment horizontal="right" vertical="center" wrapText="1" readingOrder="1"/>
    </xf>
    <xf numFmtId="0" fontId="61" fillId="0" borderId="28" xfId="0" applyFont="1" applyBorder="1" applyAlignment="1">
      <alignment horizontal="center" vertical="top" readingOrder="1"/>
    </xf>
    <xf numFmtId="0" fontId="70" fillId="0" borderId="28" xfId="0" applyFont="1" applyBorder="1" applyAlignment="1">
      <alignment horizontal="left" vertical="top" wrapText="1" readingOrder="1"/>
    </xf>
    <xf numFmtId="170" fontId="58" fillId="0" borderId="28" xfId="0" applyNumberFormat="1" applyFont="1" applyBorder="1" applyAlignment="1">
      <alignment horizontal="center" vertical="top" readingOrder="1"/>
    </xf>
    <xf numFmtId="0" fontId="61" fillId="0" borderId="28" xfId="0" applyFont="1" applyBorder="1" applyAlignment="1">
      <alignment horizontal="left" vertical="top" wrapText="1" readingOrder="1"/>
    </xf>
    <xf numFmtId="0" fontId="61" fillId="0" borderId="11" xfId="0" applyFont="1" applyBorder="1" applyAlignment="1">
      <alignment horizontal="center" vertical="top" readingOrder="1"/>
    </xf>
    <xf numFmtId="0" fontId="61" fillId="0" borderId="11" xfId="0" applyFont="1" applyBorder="1" applyAlignment="1">
      <alignment horizontal="left" vertical="top" wrapText="1" readingOrder="1"/>
    </xf>
    <xf numFmtId="0" fontId="69" fillId="0" borderId="0" xfId="0" applyFont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top" wrapText="1"/>
    </xf>
    <xf numFmtId="0" fontId="61" fillId="0" borderId="28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61" fillId="0" borderId="38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left" vertical="top" wrapText="1" readingOrder="1"/>
    </xf>
    <xf numFmtId="0" fontId="58" fillId="0" borderId="28" xfId="0" applyFont="1" applyFill="1" applyBorder="1" applyAlignment="1">
      <alignment horizontal="left" vertical="top" wrapText="1" readingOrder="1"/>
    </xf>
    <xf numFmtId="0" fontId="61" fillId="0" borderId="51" xfId="0" applyFont="1" applyFill="1" applyBorder="1" applyAlignment="1">
      <alignment horizontal="center" vertical="top" wrapText="1" readingOrder="1"/>
    </xf>
    <xf numFmtId="2" fontId="58" fillId="0" borderId="42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top" wrapText="1"/>
    </xf>
    <xf numFmtId="0" fontId="58" fillId="0" borderId="28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61" fillId="0" borderId="51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2" fontId="58" fillId="0" borderId="42" xfId="0" applyNumberFormat="1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center" vertical="top" wrapText="1"/>
    </xf>
    <xf numFmtId="2" fontId="58" fillId="0" borderId="43" xfId="0" applyNumberFormat="1" applyFont="1" applyFill="1" applyBorder="1" applyAlignment="1">
      <alignment horizontal="center" vertical="top" wrapText="1"/>
    </xf>
    <xf numFmtId="2" fontId="58" fillId="0" borderId="21" xfId="0" applyNumberFormat="1" applyFont="1" applyFill="1" applyBorder="1" applyAlignment="1">
      <alignment horizontal="center" vertical="top" wrapText="1"/>
    </xf>
    <xf numFmtId="2" fontId="61" fillId="0" borderId="11" xfId="0" applyNumberFormat="1" applyFont="1" applyFill="1" applyBorder="1" applyAlignment="1">
      <alignment horizontal="center" vertical="top" readingOrder="1"/>
    </xf>
    <xf numFmtId="2" fontId="61" fillId="0" borderId="28" xfId="0" applyNumberFormat="1" applyFont="1" applyFill="1" applyBorder="1" applyAlignment="1">
      <alignment horizontal="center" vertical="top" readingOrder="1"/>
    </xf>
    <xf numFmtId="0" fontId="61" fillId="0" borderId="10" xfId="0" applyFont="1" applyFill="1" applyBorder="1" applyAlignment="1">
      <alignment horizontal="left" vertical="center" wrapText="1" readingOrder="1"/>
    </xf>
    <xf numFmtId="1" fontId="61" fillId="0" borderId="11" xfId="0" applyNumberFormat="1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left" vertical="center" wrapText="1" readingOrder="1"/>
    </xf>
    <xf numFmtId="0" fontId="58" fillId="0" borderId="15" xfId="0" applyFont="1" applyFill="1" applyBorder="1" applyAlignment="1">
      <alignment horizontal="left" vertical="center" wrapText="1" readingOrder="1"/>
    </xf>
    <xf numFmtId="0" fontId="61" fillId="0" borderId="11" xfId="0" applyFont="1" applyFill="1" applyBorder="1" applyAlignment="1">
      <alignment horizontal="center" vertical="top" readingOrder="1"/>
    </xf>
    <xf numFmtId="0" fontId="0" fillId="0" borderId="28" xfId="0" applyFill="1" applyBorder="1" applyAlignment="1">
      <alignment horizontal="center" vertical="top" readingOrder="1"/>
    </xf>
    <xf numFmtId="0" fontId="0" fillId="0" borderId="15" xfId="0" applyFill="1" applyBorder="1" applyAlignment="1">
      <alignment horizontal="center" vertical="top" readingOrder="1"/>
    </xf>
    <xf numFmtId="0" fontId="0" fillId="0" borderId="28" xfId="0" applyFill="1" applyBorder="1" applyAlignment="1">
      <alignment horizontal="left" wrapText="1" readingOrder="1"/>
    </xf>
    <xf numFmtId="0" fontId="0" fillId="0" borderId="15" xfId="0" applyFill="1" applyBorder="1" applyAlignment="1">
      <alignment horizontal="left" wrapText="1" readingOrder="1"/>
    </xf>
    <xf numFmtId="0" fontId="61" fillId="0" borderId="28" xfId="0" applyFont="1" applyFill="1" applyBorder="1" applyAlignment="1">
      <alignment horizontal="center" vertical="top" readingOrder="1"/>
    </xf>
    <xf numFmtId="170" fontId="61" fillId="0" borderId="10" xfId="0" applyNumberFormat="1" applyFont="1" applyFill="1" applyBorder="1" applyAlignment="1">
      <alignment horizontal="center" vertical="top" readingOrder="1"/>
    </xf>
    <xf numFmtId="170" fontId="61" fillId="0" borderId="11" xfId="0" applyNumberFormat="1" applyFont="1" applyFill="1" applyBorder="1" applyAlignment="1">
      <alignment horizontal="center" vertical="top" readingOrder="1"/>
    </xf>
    <xf numFmtId="0" fontId="58" fillId="0" borderId="16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58" fillId="0" borderId="5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top" readingOrder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61" fillId="0" borderId="1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readingOrder="1"/>
    </xf>
    <xf numFmtId="0" fontId="61" fillId="0" borderId="10" xfId="0" applyFont="1" applyFill="1" applyBorder="1" applyAlignment="1">
      <alignment horizontal="center" vertical="top" readingOrder="1"/>
    </xf>
    <xf numFmtId="2" fontId="61" fillId="0" borderId="10" xfId="0" applyNumberFormat="1" applyFont="1" applyFill="1" applyBorder="1" applyAlignment="1">
      <alignment horizontal="center" vertical="top" readingOrder="1"/>
    </xf>
    <xf numFmtId="2" fontId="61" fillId="34" borderId="10" xfId="0" applyNumberFormat="1" applyFont="1" applyFill="1" applyBorder="1" applyAlignment="1">
      <alignment horizontal="center" vertical="top" readingOrder="1"/>
    </xf>
    <xf numFmtId="2" fontId="61" fillId="34" borderId="11" xfId="0" applyNumberFormat="1" applyFont="1" applyFill="1" applyBorder="1" applyAlignment="1">
      <alignment horizontal="center" vertical="top" readingOrder="1"/>
    </xf>
    <xf numFmtId="0" fontId="69" fillId="0" borderId="0" xfId="0" applyFont="1" applyFill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top" wrapText="1" readingOrder="1"/>
    </xf>
    <xf numFmtId="0" fontId="58" fillId="0" borderId="15" xfId="0" applyFont="1" applyFill="1" applyBorder="1" applyAlignment="1">
      <alignment horizontal="center" vertical="top" wrapText="1" readingOrder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61" fillId="0" borderId="49" xfId="0" applyFont="1" applyFill="1" applyBorder="1" applyAlignment="1">
      <alignment horizontal="center" vertical="top" readingOrder="1"/>
    </xf>
    <xf numFmtId="2" fontId="58" fillId="34" borderId="42" xfId="0" applyNumberFormat="1" applyFont="1" applyFill="1" applyBorder="1" applyAlignment="1">
      <alignment horizontal="center" vertical="top" wrapText="1"/>
    </xf>
    <xf numFmtId="2" fontId="58" fillId="34" borderId="10" xfId="0" applyNumberFormat="1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readingOrder="1"/>
    </xf>
    <xf numFmtId="0" fontId="58" fillId="0" borderId="30" xfId="0" applyFont="1" applyFill="1" applyBorder="1" applyAlignment="1">
      <alignment vertical="top" wrapText="1"/>
    </xf>
    <xf numFmtId="0" fontId="58" fillId="0" borderId="53" xfId="0" applyFont="1" applyFill="1" applyBorder="1" applyAlignment="1">
      <alignment vertical="top" wrapText="1"/>
    </xf>
    <xf numFmtId="0" fontId="58" fillId="0" borderId="29" xfId="0" applyFont="1" applyFill="1" applyBorder="1" applyAlignment="1">
      <alignment vertical="top" wrapText="1"/>
    </xf>
    <xf numFmtId="0" fontId="59" fillId="0" borderId="28" xfId="0" applyFont="1" applyFill="1" applyBorder="1" applyAlignment="1">
      <alignment horizontal="center" vertical="top" readingOrder="1"/>
    </xf>
    <xf numFmtId="0" fontId="59" fillId="0" borderId="28" xfId="0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 readingOrder="1"/>
    </xf>
    <xf numFmtId="0" fontId="59" fillId="0" borderId="15" xfId="0" applyFont="1" applyFill="1" applyBorder="1" applyAlignment="1">
      <alignment vertical="top" wrapText="1" readingOrder="1"/>
    </xf>
    <xf numFmtId="170" fontId="58" fillId="0" borderId="11" xfId="0" applyNumberFormat="1" applyFont="1" applyFill="1" applyBorder="1" applyAlignment="1">
      <alignment horizontal="center" vertical="top" readingOrder="1"/>
    </xf>
    <xf numFmtId="0" fontId="45" fillId="0" borderId="15" xfId="0" applyFont="1" applyFill="1" applyBorder="1" applyAlignment="1">
      <alignment/>
    </xf>
    <xf numFmtId="0" fontId="61" fillId="0" borderId="15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wrapText="1"/>
    </xf>
    <xf numFmtId="0" fontId="59" fillId="0" borderId="15" xfId="0" applyFont="1" applyFill="1" applyBorder="1" applyAlignment="1">
      <alignment horizontal="center" vertical="top" readingOrder="1"/>
    </xf>
    <xf numFmtId="0" fontId="59" fillId="0" borderId="28" xfId="0" applyFont="1" applyFill="1" applyBorder="1" applyAlignment="1">
      <alignment vertical="top" wrapText="1" readingOrder="1"/>
    </xf>
    <xf numFmtId="170" fontId="61" fillId="0" borderId="50" xfId="0" applyNumberFormat="1" applyFont="1" applyFill="1" applyBorder="1" applyAlignment="1">
      <alignment horizontal="center" vertical="top" readingOrder="1"/>
    </xf>
    <xf numFmtId="170" fontId="61" fillId="0" borderId="28" xfId="0" applyNumberFormat="1" applyFont="1" applyFill="1" applyBorder="1" applyAlignment="1">
      <alignment horizontal="center" vertical="top" readingOrder="1"/>
    </xf>
    <xf numFmtId="0" fontId="61" fillId="0" borderId="50" xfId="0" applyFont="1" applyFill="1" applyBorder="1" applyAlignment="1">
      <alignment horizontal="center" vertical="top" readingOrder="1"/>
    </xf>
    <xf numFmtId="0" fontId="58" fillId="0" borderId="30" xfId="0" applyFont="1" applyFill="1" applyBorder="1" applyAlignment="1">
      <alignment vertical="top" wrapText="1" readingOrder="1"/>
    </xf>
    <xf numFmtId="0" fontId="58" fillId="0" borderId="53" xfId="0" applyFont="1" applyFill="1" applyBorder="1" applyAlignment="1">
      <alignment vertical="top" wrapText="1" readingOrder="1"/>
    </xf>
    <xf numFmtId="0" fontId="58" fillId="0" borderId="29" xfId="0" applyFont="1" applyFill="1" applyBorder="1" applyAlignment="1">
      <alignment vertical="top" wrapText="1" readingOrder="1"/>
    </xf>
    <xf numFmtId="0" fontId="59" fillId="0" borderId="51" xfId="0" applyFont="1" applyFill="1" applyBorder="1" applyAlignment="1">
      <alignment horizontal="center" vertical="top" readingOrder="1"/>
    </xf>
    <xf numFmtId="0" fontId="58" fillId="0" borderId="49" xfId="0" applyFont="1" applyFill="1" applyBorder="1" applyAlignment="1">
      <alignment vertical="top" wrapText="1"/>
    </xf>
    <xf numFmtId="0" fontId="71" fillId="0" borderId="52" xfId="0" applyFont="1" applyFill="1" applyBorder="1" applyAlignment="1">
      <alignment vertical="top" wrapText="1"/>
    </xf>
    <xf numFmtId="0" fontId="71" fillId="0" borderId="32" xfId="0" applyFont="1" applyFill="1" applyBorder="1" applyAlignment="1">
      <alignment vertical="top" wrapText="1"/>
    </xf>
    <xf numFmtId="0" fontId="61" fillId="0" borderId="14" xfId="0" applyFont="1" applyFill="1" applyBorder="1" applyAlignment="1">
      <alignment horizontal="center" vertical="top" readingOrder="1"/>
    </xf>
    <xf numFmtId="0" fontId="61" fillId="0" borderId="0" xfId="0" applyFont="1" applyFill="1" applyBorder="1" applyAlignment="1">
      <alignment horizontal="right" vertical="center" wrapText="1" readingOrder="1"/>
    </xf>
    <xf numFmtId="0" fontId="61" fillId="0" borderId="38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58" fillId="0" borderId="28" xfId="0" applyFont="1" applyBorder="1" applyAlignment="1">
      <alignment vertical="top" wrapText="1"/>
    </xf>
    <xf numFmtId="0" fontId="61" fillId="0" borderId="28" xfId="0" applyFont="1" applyBorder="1" applyAlignment="1">
      <alignment vertical="top" wrapText="1"/>
    </xf>
    <xf numFmtId="0" fontId="58" fillId="0" borderId="61" xfId="0" applyFont="1" applyBorder="1" applyAlignment="1">
      <alignment horizontal="left" vertical="center" wrapText="1"/>
    </xf>
    <xf numFmtId="0" fontId="45" fillId="0" borderId="62" xfId="0" applyFont="1" applyBorder="1" applyAlignment="1">
      <alignment horizontal="left" vertical="center" wrapText="1"/>
    </xf>
    <xf numFmtId="170" fontId="58" fillId="0" borderId="28" xfId="0" applyNumberFormat="1" applyFont="1" applyBorder="1" applyAlignment="1">
      <alignment horizontal="center" vertical="center" wrapText="1"/>
    </xf>
    <xf numFmtId="170" fontId="58" fillId="0" borderId="15" xfId="0" applyNumberFormat="1" applyFont="1" applyBorder="1" applyAlignment="1">
      <alignment horizontal="center" vertical="center" wrapText="1"/>
    </xf>
    <xf numFmtId="0" fontId="58" fillId="0" borderId="40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170" fontId="58" fillId="0" borderId="39" xfId="0" applyNumberFormat="1" applyFont="1" applyBorder="1" applyAlignment="1">
      <alignment horizontal="center" vertical="center" wrapText="1"/>
    </xf>
    <xf numFmtId="170" fontId="58" fillId="0" borderId="41" xfId="0" applyNumberFormat="1" applyFont="1" applyBorder="1" applyAlignment="1">
      <alignment horizontal="center" vertical="center" wrapText="1"/>
    </xf>
    <xf numFmtId="170" fontId="58" fillId="0" borderId="54" xfId="0" applyNumberFormat="1" applyFont="1" applyBorder="1" applyAlignment="1">
      <alignment horizontal="center" vertical="center" wrapText="1"/>
    </xf>
    <xf numFmtId="170" fontId="61" fillId="0" borderId="50" xfId="0" applyNumberFormat="1" applyFont="1" applyBorder="1" applyAlignment="1">
      <alignment horizontal="center" vertical="center" wrapText="1" readingOrder="1"/>
    </xf>
    <xf numFmtId="0" fontId="61" fillId="0" borderId="50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8" fillId="0" borderId="63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61" fillId="0" borderId="28" xfId="0" applyFont="1" applyBorder="1" applyAlignment="1">
      <alignment horizontal="center" vertical="center" wrapText="1" readingOrder="1"/>
    </xf>
    <xf numFmtId="0" fontId="0" fillId="0" borderId="2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61" fillId="0" borderId="28" xfId="0" applyNumberFormat="1" applyFont="1" applyBorder="1" applyAlignment="1">
      <alignment horizontal="center" vertical="center" wrapText="1" readingOrder="1"/>
    </xf>
    <xf numFmtId="49" fontId="0" fillId="0" borderId="28" xfId="0" applyNumberFormat="1" applyBorder="1" applyAlignment="1">
      <alignment horizontal="center" vertical="center" wrapText="1" readingOrder="1"/>
    </xf>
    <xf numFmtId="49" fontId="0" fillId="0" borderId="15" xfId="0" applyNumberFormat="1" applyBorder="1" applyAlignment="1">
      <alignment horizontal="center" vertical="center" wrapText="1" readingOrder="1"/>
    </xf>
    <xf numFmtId="0" fontId="58" fillId="0" borderId="15" xfId="0" applyFont="1" applyBorder="1" applyAlignment="1">
      <alignment horizontal="center" vertical="center" wrapText="1"/>
    </xf>
    <xf numFmtId="49" fontId="61" fillId="0" borderId="28" xfId="0" applyNumberFormat="1" applyFont="1" applyBorder="1" applyAlignment="1">
      <alignment horizontal="left" vertical="center" wrapText="1" readingOrder="1"/>
    </xf>
    <xf numFmtId="49" fontId="66" fillId="0" borderId="10" xfId="0" applyNumberFormat="1" applyFont="1" applyBorder="1" applyAlignment="1">
      <alignment horizontal="center" vertical="center" wrapText="1" readingOrder="1"/>
    </xf>
    <xf numFmtId="170" fontId="58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readingOrder="1"/>
    </xf>
    <xf numFmtId="49" fontId="0" fillId="0" borderId="28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49" fontId="58" fillId="0" borderId="51" xfId="0" applyNumberFormat="1" applyFont="1" applyBorder="1" applyAlignment="1">
      <alignment horizontal="left" vertical="center" wrapText="1" readingOrder="1"/>
    </xf>
    <xf numFmtId="49" fontId="58" fillId="0" borderId="0" xfId="0" applyNumberFormat="1" applyFont="1" applyBorder="1" applyAlignment="1">
      <alignment horizontal="left" vertical="center" wrapText="1" readingOrder="1"/>
    </xf>
    <xf numFmtId="49" fontId="58" fillId="0" borderId="38" xfId="0" applyNumberFormat="1" applyFont="1" applyBorder="1" applyAlignment="1">
      <alignment horizontal="left" vertical="center" wrapText="1" readingOrder="1"/>
    </xf>
    <xf numFmtId="0" fontId="61" fillId="0" borderId="10" xfId="0" applyFont="1" applyBorder="1" applyAlignment="1">
      <alignment horizontal="left" wrapText="1" readingOrder="1"/>
    </xf>
    <xf numFmtId="170" fontId="58" fillId="0" borderId="10" xfId="0" applyNumberFormat="1" applyFont="1" applyBorder="1" applyAlignment="1">
      <alignment horizontal="center" vertical="center" wrapText="1" readingOrder="1"/>
    </xf>
    <xf numFmtId="49" fontId="61" fillId="0" borderId="11" xfId="58" applyNumberFormat="1" applyFont="1" applyBorder="1" applyAlignment="1">
      <alignment horizontal="center" vertical="center" wrapText="1" readingOrder="1"/>
    </xf>
    <xf numFmtId="0" fontId="61" fillId="0" borderId="31" xfId="0" applyFont="1" applyBorder="1" applyAlignment="1">
      <alignment horizontal="left" vertical="center" wrapText="1" readingOrder="1"/>
    </xf>
    <xf numFmtId="0" fontId="61" fillId="0" borderId="29" xfId="0" applyFont="1" applyBorder="1" applyAlignment="1">
      <alignment horizontal="left" vertical="center" wrapText="1" readingOrder="1"/>
    </xf>
    <xf numFmtId="0" fontId="58" fillId="0" borderId="13" xfId="0" applyFont="1" applyBorder="1" applyAlignment="1">
      <alignment vertical="top" wrapText="1"/>
    </xf>
    <xf numFmtId="0" fontId="61" fillId="0" borderId="64" xfId="0" applyFont="1" applyBorder="1" applyAlignment="1">
      <alignment horizontal="center" vertical="top" wrapText="1"/>
    </xf>
    <xf numFmtId="0" fontId="58" fillId="0" borderId="58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170" fontId="58" fillId="0" borderId="36" xfId="0" applyNumberFormat="1" applyFont="1" applyBorder="1" applyAlignment="1">
      <alignment horizontal="center" vertical="center" wrapText="1"/>
    </xf>
    <xf numFmtId="170" fontId="58" fillId="0" borderId="0" xfId="0" applyNumberFormat="1" applyFont="1" applyBorder="1" applyAlignment="1">
      <alignment horizontal="center" vertical="center" wrapText="1"/>
    </xf>
    <xf numFmtId="170" fontId="58" fillId="0" borderId="65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top" wrapText="1" readingOrder="1"/>
    </xf>
    <xf numFmtId="0" fontId="61" fillId="0" borderId="31" xfId="0" applyFont="1" applyBorder="1" applyAlignment="1">
      <alignment vertical="center" wrapText="1" readingOrder="1"/>
    </xf>
    <xf numFmtId="0" fontId="61" fillId="0" borderId="51" xfId="0" applyFont="1" applyBorder="1" applyAlignment="1">
      <alignment horizontal="center" vertical="top" readingOrder="1"/>
    </xf>
    <xf numFmtId="0" fontId="61" fillId="0" borderId="51" xfId="0" applyFont="1" applyBorder="1" applyAlignment="1">
      <alignment vertical="top" readingOrder="1"/>
    </xf>
    <xf numFmtId="0" fontId="61" fillId="0" borderId="51" xfId="0" applyFont="1" applyFill="1" applyBorder="1" applyAlignment="1">
      <alignment horizontal="center" vertical="top" readingOrder="1"/>
    </xf>
    <xf numFmtId="0" fontId="58" fillId="0" borderId="51" xfId="0" applyFont="1" applyBorder="1" applyAlignment="1">
      <alignment horizontal="center" vertical="top" wrapText="1" readingOrder="1"/>
    </xf>
    <xf numFmtId="0" fontId="58" fillId="0" borderId="51" xfId="0" applyFont="1" applyBorder="1" applyAlignment="1">
      <alignment horizontal="center" vertical="top" wrapText="1" readingOrder="1"/>
    </xf>
    <xf numFmtId="0" fontId="61" fillId="0" borderId="32" xfId="0" applyFont="1" applyBorder="1" applyAlignment="1">
      <alignment vertical="center" wrapText="1" readingOrder="1"/>
    </xf>
    <xf numFmtId="0" fontId="61" fillId="0" borderId="32" xfId="0" applyFont="1" applyBorder="1" applyAlignment="1">
      <alignment horizontal="left" vertical="top" wrapText="1" readingOrder="1"/>
    </xf>
    <xf numFmtId="2" fontId="58" fillId="0" borderId="31" xfId="0" applyNumberFormat="1" applyFont="1" applyFill="1" applyBorder="1" applyAlignment="1">
      <alignment horizontal="center" vertical="center" readingOrder="1"/>
    </xf>
    <xf numFmtId="2" fontId="61" fillId="0" borderId="38" xfId="0" applyNumberFormat="1" applyFont="1" applyFill="1" applyBorder="1" applyAlignment="1">
      <alignment horizontal="center" vertical="center" readingOrder="1"/>
    </xf>
    <xf numFmtId="170" fontId="58" fillId="0" borderId="15" xfId="0" applyNumberFormat="1" applyFont="1" applyBorder="1" applyAlignment="1">
      <alignment horizontal="center" vertical="top" readingOrder="1"/>
    </xf>
    <xf numFmtId="170" fontId="61" fillId="0" borderId="28" xfId="0" applyNumberFormat="1" applyFont="1" applyFill="1" applyBorder="1" applyAlignment="1">
      <alignment horizontal="center" vertical="center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8"/>
  <sheetViews>
    <sheetView zoomScale="85" zoomScaleNormal="85" zoomScaleSheetLayoutView="100" zoomScalePageLayoutView="0" workbookViewId="0" topLeftCell="A1">
      <selection activeCell="D34" sqref="D34"/>
    </sheetView>
  </sheetViews>
  <sheetFormatPr defaultColWidth="9.140625" defaultRowHeight="15"/>
  <cols>
    <col min="1" max="1" width="3.2812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71093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43.5" customHeight="1">
      <c r="A1" s="584" t="s">
        <v>307</v>
      </c>
      <c r="B1" s="584"/>
      <c r="C1" s="584"/>
      <c r="D1" s="584"/>
      <c r="E1" s="584"/>
      <c r="F1" s="584"/>
      <c r="G1" s="584"/>
      <c r="H1" s="584"/>
      <c r="I1" s="584"/>
      <c r="J1" s="54"/>
      <c r="K1" s="54"/>
      <c r="L1" s="54"/>
    </row>
    <row r="2" spans="1:12" ht="30.75" customHeight="1">
      <c r="A2" s="585" t="s">
        <v>306</v>
      </c>
      <c r="B2" s="585"/>
      <c r="C2" s="585"/>
      <c r="D2" s="585"/>
      <c r="E2" s="585"/>
      <c r="F2" s="585"/>
      <c r="G2" s="585"/>
      <c r="H2" s="585"/>
      <c r="I2" s="585"/>
      <c r="J2" s="54"/>
      <c r="K2" s="54"/>
      <c r="L2" s="54"/>
    </row>
    <row r="3" spans="1:12" ht="29.25" customHeight="1">
      <c r="A3" s="585"/>
      <c r="B3" s="585"/>
      <c r="C3" s="585"/>
      <c r="D3" s="585"/>
      <c r="E3" s="585"/>
      <c r="F3" s="585"/>
      <c r="G3" s="585"/>
      <c r="H3" s="585"/>
      <c r="I3" s="585"/>
      <c r="J3" s="54"/>
      <c r="K3" s="54"/>
      <c r="L3" s="54"/>
    </row>
    <row r="4" spans="1:12" ht="9.75" customHeight="1">
      <c r="A4" s="586"/>
      <c r="B4" s="586"/>
      <c r="C4" s="586"/>
      <c r="D4" s="587" t="s">
        <v>54</v>
      </c>
      <c r="E4" s="587">
        <v>2014</v>
      </c>
      <c r="F4" s="587">
        <v>2015</v>
      </c>
      <c r="G4" s="587">
        <v>2016</v>
      </c>
      <c r="H4" s="587">
        <v>2017</v>
      </c>
      <c r="I4" s="587">
        <v>2018</v>
      </c>
      <c r="J4" s="54"/>
      <c r="K4" s="54"/>
      <c r="L4" s="54"/>
    </row>
    <row r="5" spans="1:9" ht="6.75" customHeight="1">
      <c r="A5" s="586"/>
      <c r="B5" s="586"/>
      <c r="C5" s="586"/>
      <c r="D5" s="587"/>
      <c r="E5" s="587"/>
      <c r="F5" s="587"/>
      <c r="G5" s="587"/>
      <c r="H5" s="587"/>
      <c r="I5" s="587"/>
    </row>
    <row r="6" spans="1:12" ht="15" customHeight="1">
      <c r="A6" s="593" t="s">
        <v>305</v>
      </c>
      <c r="B6" s="594"/>
      <c r="C6" s="594"/>
      <c r="D6" s="594"/>
      <c r="E6" s="594"/>
      <c r="F6" s="594"/>
      <c r="G6" s="595"/>
      <c r="H6" s="55"/>
      <c r="I6" s="55"/>
      <c r="J6" s="55"/>
      <c r="K6" s="55"/>
      <c r="L6" s="55"/>
    </row>
    <row r="7" spans="1:12" s="11" customFormat="1" ht="15" customHeight="1">
      <c r="A7" s="591">
        <v>1</v>
      </c>
      <c r="B7" s="591" t="s">
        <v>13</v>
      </c>
      <c r="C7" s="481" t="s">
        <v>11</v>
      </c>
      <c r="D7" s="481">
        <f>SUM(E7:I7)</f>
        <v>814850.6099999999</v>
      </c>
      <c r="E7" s="481">
        <f>SUM(E8:E9)</f>
        <v>173578.14999999997</v>
      </c>
      <c r="F7" s="481">
        <f>SUM(F8:F9)</f>
        <v>164366.81</v>
      </c>
      <c r="G7" s="481">
        <f>SUM(G8:G9)</f>
        <v>158968.55</v>
      </c>
      <c r="H7" s="481">
        <f>SUM(H8:H9)</f>
        <v>158968.55</v>
      </c>
      <c r="I7" s="481">
        <f>SUM(I8:I9)</f>
        <v>158968.55</v>
      </c>
      <c r="J7" s="56"/>
      <c r="K7" s="56"/>
      <c r="L7" s="56"/>
    </row>
    <row r="8" spans="1:12" s="11" customFormat="1" ht="15" customHeight="1">
      <c r="A8" s="591"/>
      <c r="B8" s="591"/>
      <c r="C8" s="482" t="s">
        <v>5</v>
      </c>
      <c r="D8" s="481">
        <f>SUM(E8:I8)</f>
        <v>267601.84</v>
      </c>
      <c r="E8" s="482">
        <f>модернизация!F44</f>
        <v>64241.37999999999</v>
      </c>
      <c r="F8" s="482">
        <f>модернизация!G44</f>
        <v>54136.11</v>
      </c>
      <c r="G8" s="482">
        <f>модернизация!H44</f>
        <v>49741.45</v>
      </c>
      <c r="H8" s="482">
        <f>модернизация!I44</f>
        <v>49741.45</v>
      </c>
      <c r="I8" s="482">
        <f>модернизация!J44</f>
        <v>49741.45</v>
      </c>
      <c r="J8" s="56"/>
      <c r="K8" s="56"/>
      <c r="L8" s="56"/>
    </row>
    <row r="9" spans="1:12" s="11" customFormat="1" ht="15" customHeight="1">
      <c r="A9" s="591"/>
      <c r="B9" s="591"/>
      <c r="C9" s="482" t="s">
        <v>6</v>
      </c>
      <c r="D9" s="481">
        <f>SUM(E9:I9)</f>
        <v>547248.7699999999</v>
      </c>
      <c r="E9" s="482">
        <f>модернизация!F45</f>
        <v>109336.76999999999</v>
      </c>
      <c r="F9" s="482">
        <f>модернизация!G45</f>
        <v>110230.7</v>
      </c>
      <c r="G9" s="482">
        <f>модернизация!H45</f>
        <v>109227.1</v>
      </c>
      <c r="H9" s="482">
        <f>модернизация!I45</f>
        <v>109227.1</v>
      </c>
      <c r="I9" s="482">
        <f>модернизация!J45</f>
        <v>109227.1</v>
      </c>
      <c r="J9" s="56"/>
      <c r="K9" s="56"/>
      <c r="L9" s="56"/>
    </row>
    <row r="10" spans="1:12" ht="13.5" customHeight="1">
      <c r="A10" s="588" t="s">
        <v>304</v>
      </c>
      <c r="B10" s="589"/>
      <c r="C10" s="589"/>
      <c r="D10" s="589"/>
      <c r="E10" s="589"/>
      <c r="F10" s="589"/>
      <c r="G10" s="590"/>
      <c r="H10" s="483"/>
      <c r="I10" s="483"/>
      <c r="J10" s="55"/>
      <c r="K10" s="55"/>
      <c r="L10" s="55"/>
    </row>
    <row r="11" spans="1:12" s="11" customFormat="1" ht="14.25" customHeight="1">
      <c r="A11" s="591">
        <v>2</v>
      </c>
      <c r="B11" s="591" t="s">
        <v>13</v>
      </c>
      <c r="C11" s="481" t="s">
        <v>11</v>
      </c>
      <c r="D11" s="481">
        <f>SUM(E11:I11)</f>
        <v>6127.57</v>
      </c>
      <c r="E11" s="484">
        <f>E12+E13</f>
        <v>1236.6299999999999</v>
      </c>
      <c r="F11" s="484">
        <f>F12+F13</f>
        <v>1040.44</v>
      </c>
      <c r="G11" s="481">
        <f>G12+G13</f>
        <v>1283.5</v>
      </c>
      <c r="H11" s="481">
        <f>H12+H13</f>
        <v>1283.5</v>
      </c>
      <c r="I11" s="481">
        <f>I12+I13</f>
        <v>1283.5</v>
      </c>
      <c r="J11" s="56"/>
      <c r="K11" s="56"/>
      <c r="L11" s="56"/>
    </row>
    <row r="12" spans="1:12" s="11" customFormat="1" ht="14.25" customHeight="1">
      <c r="A12" s="591"/>
      <c r="B12" s="591"/>
      <c r="C12" s="482" t="s">
        <v>5</v>
      </c>
      <c r="D12" s="481">
        <f>SUM(E12:I12)</f>
        <v>4795.469999999999</v>
      </c>
      <c r="E12" s="485">
        <f>'Молодежная политика'!F54</f>
        <v>988.03</v>
      </c>
      <c r="F12" s="485">
        <f>'Молодежная политика'!G54</f>
        <v>791.84</v>
      </c>
      <c r="G12" s="482">
        <f>'Молодежная политика'!H54</f>
        <v>1005.2</v>
      </c>
      <c r="H12" s="482">
        <f>'Молодежная политика'!I54</f>
        <v>1005.2</v>
      </c>
      <c r="I12" s="482">
        <f>'Молодежная политика'!J54</f>
        <v>1005.2</v>
      </c>
      <c r="J12" s="56"/>
      <c r="K12" s="56"/>
      <c r="L12" s="56"/>
    </row>
    <row r="13" spans="1:12" s="11" customFormat="1" ht="12.75" customHeight="1">
      <c r="A13" s="591"/>
      <c r="B13" s="591"/>
      <c r="C13" s="482" t="s">
        <v>6</v>
      </c>
      <c r="D13" s="481">
        <f>SUM(E13:I13)</f>
        <v>1332.1</v>
      </c>
      <c r="E13" s="485">
        <f>'Молодежная политика'!F55</f>
        <v>248.6</v>
      </c>
      <c r="F13" s="485">
        <f>'Молодежная политика'!G55</f>
        <v>248.6</v>
      </c>
      <c r="G13" s="482">
        <f>'Молодежная политика'!H55</f>
        <v>278.3</v>
      </c>
      <c r="H13" s="482">
        <f>'Молодежная политика'!I55</f>
        <v>278.3</v>
      </c>
      <c r="I13" s="482">
        <f>'Молодежная политика'!J55</f>
        <v>278.3</v>
      </c>
      <c r="J13" s="56"/>
      <c r="K13" s="56"/>
      <c r="L13" s="56"/>
    </row>
    <row r="14" spans="1:9" s="62" customFormat="1" ht="0.75" customHeight="1">
      <c r="A14" s="596"/>
      <c r="B14" s="596"/>
      <c r="C14" s="482" t="s">
        <v>6</v>
      </c>
      <c r="D14" s="486" t="e">
        <f>SUM(E14:I14)</f>
        <v>#REF!</v>
      </c>
      <c r="E14" s="486" t="e">
        <f>SUM(E9,#REF!)</f>
        <v>#REF!</v>
      </c>
      <c r="F14" s="486" t="e">
        <f>SUM(F9,#REF!)</f>
        <v>#REF!</v>
      </c>
      <c r="G14" s="486" t="e">
        <f>SUM(G9,#REF!)</f>
        <v>#REF!</v>
      </c>
      <c r="H14" s="486" t="e">
        <f>SUM(H9,#REF!)</f>
        <v>#REF!</v>
      </c>
      <c r="I14" s="486" t="e">
        <f>SUM(I9,#REF!)</f>
        <v>#REF!</v>
      </c>
    </row>
    <row r="15" spans="1:9" ht="13.5" customHeight="1">
      <c r="A15" s="588" t="s">
        <v>152</v>
      </c>
      <c r="B15" s="589"/>
      <c r="C15" s="589"/>
      <c r="D15" s="589"/>
      <c r="E15" s="589"/>
      <c r="F15" s="589"/>
      <c r="G15" s="590"/>
      <c r="H15" s="487"/>
      <c r="I15" s="487"/>
    </row>
    <row r="16" spans="1:12" s="11" customFormat="1" ht="13.5" customHeight="1">
      <c r="A16" s="591">
        <v>3</v>
      </c>
      <c r="B16" s="591" t="s">
        <v>13</v>
      </c>
      <c r="C16" s="481" t="s">
        <v>11</v>
      </c>
      <c r="D16" s="481">
        <f>SUM(E16:I16)</f>
        <v>43265.95</v>
      </c>
      <c r="E16" s="481">
        <f>SUM(E17:E17)</f>
        <v>6856.34</v>
      </c>
      <c r="F16" s="481">
        <f>SUM(F17:F17)</f>
        <v>8640.8</v>
      </c>
      <c r="G16" s="481">
        <f>SUM(G17)</f>
        <v>9256.27</v>
      </c>
      <c r="H16" s="481">
        <f>SUM(H17)</f>
        <v>9256.27</v>
      </c>
      <c r="I16" s="481">
        <f>SUM(I17)</f>
        <v>9256.27</v>
      </c>
      <c r="J16" s="56"/>
      <c r="K16" s="56"/>
      <c r="L16" s="56"/>
    </row>
    <row r="17" spans="1:12" s="11" customFormat="1" ht="13.5" customHeight="1">
      <c r="A17" s="591"/>
      <c r="B17" s="591"/>
      <c r="C17" s="482" t="s">
        <v>5</v>
      </c>
      <c r="D17" s="482">
        <f>SUM(E17:I17)</f>
        <v>43265.95</v>
      </c>
      <c r="E17" s="482">
        <f>МИТО!F25</f>
        <v>6856.34</v>
      </c>
      <c r="F17" s="482">
        <f>МИТО!G25</f>
        <v>8640.8</v>
      </c>
      <c r="G17" s="482">
        <f>МИТО!H25</f>
        <v>9256.27</v>
      </c>
      <c r="H17" s="482">
        <f>МИТО!I25</f>
        <v>9256.27</v>
      </c>
      <c r="I17" s="482">
        <f>МИТО!J25</f>
        <v>9256.27</v>
      </c>
      <c r="J17" s="56"/>
      <c r="K17" s="56"/>
      <c r="L17" s="56"/>
    </row>
    <row r="18" spans="1:9" ht="12.75" customHeight="1">
      <c r="A18" s="588" t="s">
        <v>151</v>
      </c>
      <c r="B18" s="589"/>
      <c r="C18" s="589"/>
      <c r="D18" s="589"/>
      <c r="E18" s="589"/>
      <c r="F18" s="589"/>
      <c r="G18" s="590"/>
      <c r="H18" s="487"/>
      <c r="I18" s="487"/>
    </row>
    <row r="19" spans="1:12" s="11" customFormat="1" ht="13.5" customHeight="1">
      <c r="A19" s="591"/>
      <c r="B19" s="591" t="s">
        <v>13</v>
      </c>
      <c r="C19" s="481" t="s">
        <v>11</v>
      </c>
      <c r="D19" s="481">
        <f>SUM(E19:I19)</f>
        <v>15298.93</v>
      </c>
      <c r="E19" s="481">
        <f>SUM(E20:E21)</f>
        <v>8816.53</v>
      </c>
      <c r="F19" s="481">
        <f>SUM(F20:F21)</f>
        <v>6482.400000000001</v>
      </c>
      <c r="G19" s="481">
        <f>SUM(G20:G21)</f>
        <v>0</v>
      </c>
      <c r="H19" s="481">
        <f>SUM(H20:H21)</f>
        <v>0</v>
      </c>
      <c r="I19" s="481">
        <f>SUM(I20:I21)</f>
        <v>0</v>
      </c>
      <c r="J19" s="56"/>
      <c r="K19" s="56"/>
      <c r="L19" s="56"/>
    </row>
    <row r="20" spans="1:12" s="11" customFormat="1" ht="13.5" customHeight="1">
      <c r="A20" s="591"/>
      <c r="B20" s="591"/>
      <c r="C20" s="482" t="s">
        <v>5</v>
      </c>
      <c r="D20" s="482">
        <f>SUM(E20:I20)</f>
        <v>13543.23</v>
      </c>
      <c r="E20" s="482">
        <v>7950.43</v>
      </c>
      <c r="F20" s="482">
        <v>5592.8</v>
      </c>
      <c r="G20" s="482">
        <v>0</v>
      </c>
      <c r="H20" s="482">
        <v>0</v>
      </c>
      <c r="I20" s="482">
        <v>0</v>
      </c>
      <c r="J20" s="56"/>
      <c r="K20" s="56"/>
      <c r="L20" s="56"/>
    </row>
    <row r="21" spans="1:12" s="11" customFormat="1" ht="13.5" customHeight="1">
      <c r="A21" s="591"/>
      <c r="B21" s="591"/>
      <c r="C21" s="482" t="s">
        <v>6</v>
      </c>
      <c r="D21" s="482">
        <f>SUM(E21:I21)</f>
        <v>1755.7</v>
      </c>
      <c r="E21" s="482">
        <v>866.1</v>
      </c>
      <c r="F21" s="482">
        <v>889.6</v>
      </c>
      <c r="G21" s="482">
        <v>0</v>
      </c>
      <c r="H21" s="482">
        <v>0</v>
      </c>
      <c r="I21" s="482">
        <v>0</v>
      </c>
      <c r="J21" s="56"/>
      <c r="K21" s="56"/>
      <c r="L21" s="56"/>
    </row>
    <row r="22" spans="1:9" ht="13.5" customHeight="1">
      <c r="A22" s="588" t="s">
        <v>154</v>
      </c>
      <c r="B22" s="589"/>
      <c r="C22" s="589"/>
      <c r="D22" s="589"/>
      <c r="E22" s="589"/>
      <c r="F22" s="589"/>
      <c r="G22" s="590"/>
      <c r="H22" s="487"/>
      <c r="I22" s="487"/>
    </row>
    <row r="23" spans="1:12" s="11" customFormat="1" ht="13.5" customHeight="1">
      <c r="A23" s="591"/>
      <c r="B23" s="591" t="s">
        <v>13</v>
      </c>
      <c r="C23" s="481" t="s">
        <v>11</v>
      </c>
      <c r="D23" s="481">
        <f>SUM(E23:I23)</f>
        <v>15957.04</v>
      </c>
      <c r="E23" s="481">
        <f>SUM(E24:E24)</f>
        <v>0</v>
      </c>
      <c r="F23" s="481">
        <f>SUM(F24:F24)</f>
        <v>15957.04</v>
      </c>
      <c r="G23" s="481">
        <f>SUM(G24)</f>
        <v>0</v>
      </c>
      <c r="H23" s="481">
        <f>SUM(H24)</f>
        <v>0</v>
      </c>
      <c r="I23" s="481">
        <f>SUM(I24)</f>
        <v>0</v>
      </c>
      <c r="J23" s="56"/>
      <c r="K23" s="56"/>
      <c r="L23" s="56"/>
    </row>
    <row r="24" spans="1:12" s="11" customFormat="1" ht="13.5" customHeight="1">
      <c r="A24" s="591"/>
      <c r="B24" s="591"/>
      <c r="C24" s="482" t="s">
        <v>5</v>
      </c>
      <c r="D24" s="482">
        <f>SUM(E24:I24)</f>
        <v>15957.04</v>
      </c>
      <c r="E24" s="482">
        <v>0</v>
      </c>
      <c r="F24" s="482">
        <v>15957.04</v>
      </c>
      <c r="G24" s="482">
        <v>0</v>
      </c>
      <c r="H24" s="482">
        <v>0</v>
      </c>
      <c r="I24" s="482">
        <v>0</v>
      </c>
      <c r="J24" s="56"/>
      <c r="K24" s="56"/>
      <c r="L24" s="56"/>
    </row>
    <row r="25" spans="1:9" ht="7.5" customHeight="1">
      <c r="A25" s="487"/>
      <c r="B25" s="487"/>
      <c r="C25" s="487"/>
      <c r="D25" s="487"/>
      <c r="E25" s="487"/>
      <c r="F25" s="487"/>
      <c r="G25" s="487"/>
      <c r="H25" s="487"/>
      <c r="I25" s="487"/>
    </row>
    <row r="26" spans="1:9" ht="21" customHeight="1">
      <c r="A26" s="592" t="s">
        <v>134</v>
      </c>
      <c r="B26" s="592"/>
      <c r="C26" s="488" t="s">
        <v>11</v>
      </c>
      <c r="D26" s="489">
        <f>SUM(E26:I26)</f>
        <v>895500.1000000001</v>
      </c>
      <c r="E26" s="489">
        <f>SUM(E27:E28)</f>
        <v>190487.64999999997</v>
      </c>
      <c r="F26" s="489">
        <f>SUM(F27:F28)</f>
        <v>196487.49</v>
      </c>
      <c r="G26" s="489">
        <f>SUM(G27:G28)</f>
        <v>169508.32</v>
      </c>
      <c r="H26" s="489">
        <f>SUM(H27:H28)</f>
        <v>169508.32</v>
      </c>
      <c r="I26" s="489">
        <f>SUM(I27:I28)</f>
        <v>169508.32</v>
      </c>
    </row>
    <row r="27" spans="1:9" ht="21" customHeight="1">
      <c r="A27" s="592"/>
      <c r="B27" s="592"/>
      <c r="C27" s="490" t="s">
        <v>5</v>
      </c>
      <c r="D27" s="489">
        <f>SUM(E27:I27)</f>
        <v>345163.52999999997</v>
      </c>
      <c r="E27" s="491">
        <f>E8+E12+E17+E20+E24</f>
        <v>80036.18</v>
      </c>
      <c r="F27" s="491">
        <f>F8+F12+F17+F20+F24</f>
        <v>85118.59</v>
      </c>
      <c r="G27" s="491">
        <f>G8+G12+G17</f>
        <v>60002.92</v>
      </c>
      <c r="H27" s="491">
        <f>H8+H12+H17</f>
        <v>60002.92</v>
      </c>
      <c r="I27" s="491">
        <f>I8+I12+I17</f>
        <v>60002.92</v>
      </c>
    </row>
    <row r="28" spans="1:9" ht="21" customHeight="1">
      <c r="A28" s="592"/>
      <c r="B28" s="592"/>
      <c r="C28" s="490" t="s">
        <v>6</v>
      </c>
      <c r="D28" s="489">
        <f>SUM(E28:I28)</f>
        <v>550336.5700000001</v>
      </c>
      <c r="E28" s="491">
        <f>E21+E13+E9</f>
        <v>110451.46999999999</v>
      </c>
      <c r="F28" s="491">
        <f>F21+F13+F9</f>
        <v>111368.9</v>
      </c>
      <c r="G28" s="491">
        <f>G9+G13</f>
        <v>109505.40000000001</v>
      </c>
      <c r="H28" s="491">
        <f>H9+H13</f>
        <v>109505.40000000001</v>
      </c>
      <c r="I28" s="491">
        <f>I9+I13</f>
        <v>109505.40000000001</v>
      </c>
    </row>
  </sheetData>
  <sheetProtection/>
  <mergeCells count="26">
    <mergeCell ref="A14:B14"/>
    <mergeCell ref="A18:G18"/>
    <mergeCell ref="A19:A21"/>
    <mergeCell ref="B19:B21"/>
    <mergeCell ref="A15:G15"/>
    <mergeCell ref="A16:A17"/>
    <mergeCell ref="B16:B17"/>
    <mergeCell ref="A22:G22"/>
    <mergeCell ref="A23:A24"/>
    <mergeCell ref="B23:B24"/>
    <mergeCell ref="A26:B28"/>
    <mergeCell ref="A6:G6"/>
    <mergeCell ref="A7:A9"/>
    <mergeCell ref="B7:B9"/>
    <mergeCell ref="A10:G10"/>
    <mergeCell ref="A11:A13"/>
    <mergeCell ref="B11:B13"/>
    <mergeCell ref="A1:I1"/>
    <mergeCell ref="A2:I3"/>
    <mergeCell ref="A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fitToWidth="0" fitToHeight="1" horizontalDpi="600" verticalDpi="600" orientation="landscape" paperSize="9" r:id="rId1"/>
  <ignoredErrors>
    <ignoredError sqref="G27:G28 G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3" activePane="bottomLeft" state="frozen"/>
      <selection pane="topLeft" activeCell="A1" sqref="A1"/>
      <selection pane="bottomLeft" activeCell="F32" sqref="F32"/>
    </sheetView>
  </sheetViews>
  <sheetFormatPr defaultColWidth="19.7109375" defaultRowHeight="18.75" customHeight="1"/>
  <cols>
    <col min="1" max="1" width="3.421875" style="284" customWidth="1"/>
    <col min="2" max="2" width="34.140625" style="414" customWidth="1"/>
    <col min="3" max="3" width="6.28125" style="415" customWidth="1"/>
    <col min="4" max="4" width="6.00390625" style="325" customWidth="1"/>
    <col min="5" max="6" width="7.71093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7109375" style="233" customWidth="1"/>
  </cols>
  <sheetData>
    <row r="1" spans="6:15" ht="39.75" customHeight="1">
      <c r="F1" s="975" t="s">
        <v>391</v>
      </c>
      <c r="G1" s="975"/>
      <c r="H1" s="975"/>
      <c r="I1" s="975"/>
      <c r="J1" s="975"/>
      <c r="K1" s="975"/>
      <c r="L1" s="975"/>
      <c r="M1" s="975"/>
      <c r="N1" s="975"/>
      <c r="O1" s="975"/>
    </row>
    <row r="2" spans="1:15" ht="39" customHeight="1">
      <c r="A2" s="1081" t="s">
        <v>392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1"/>
      <c r="O2" s="1081"/>
    </row>
    <row r="3" ht="11.25" customHeight="1">
      <c r="O3" s="416" t="s">
        <v>7</v>
      </c>
    </row>
    <row r="4" spans="1:15" s="323" customFormat="1" ht="39" customHeight="1">
      <c r="A4" s="978" t="s">
        <v>16</v>
      </c>
      <c r="B4" s="1082" t="s">
        <v>15</v>
      </c>
      <c r="C4" s="978" t="s">
        <v>8</v>
      </c>
      <c r="D4" s="978" t="s">
        <v>9</v>
      </c>
      <c r="E4" s="1084" t="s">
        <v>0</v>
      </c>
      <c r="F4" s="1085"/>
      <c r="G4" s="1085"/>
      <c r="H4" s="1085"/>
      <c r="I4" s="1086"/>
      <c r="J4" s="1087" t="s">
        <v>17</v>
      </c>
      <c r="K4" s="1088"/>
      <c r="L4" s="1088"/>
      <c r="M4" s="1088"/>
      <c r="N4" s="1089"/>
      <c r="O4" s="978" t="s">
        <v>14</v>
      </c>
    </row>
    <row r="5" spans="1:15" ht="15" customHeight="1">
      <c r="A5" s="979"/>
      <c r="B5" s="1083"/>
      <c r="C5" s="979"/>
      <c r="D5" s="979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979"/>
    </row>
    <row r="6" spans="1:15" ht="10.5" customHeight="1">
      <c r="A6" s="344">
        <v>1</v>
      </c>
      <c r="B6" s="348">
        <v>2</v>
      </c>
      <c r="C6" s="344">
        <v>3</v>
      </c>
      <c r="D6" s="344">
        <v>4</v>
      </c>
      <c r="E6" s="344">
        <v>5</v>
      </c>
      <c r="F6" s="344">
        <v>7</v>
      </c>
      <c r="G6" s="344">
        <v>8</v>
      </c>
      <c r="H6" s="344">
        <v>9</v>
      </c>
      <c r="I6" s="344">
        <v>10</v>
      </c>
      <c r="J6" s="344">
        <v>11</v>
      </c>
      <c r="K6" s="344">
        <v>12</v>
      </c>
      <c r="L6" s="344">
        <v>13</v>
      </c>
      <c r="M6" s="344">
        <v>14</v>
      </c>
      <c r="N6" s="344">
        <v>15</v>
      </c>
      <c r="O6" s="344">
        <v>16</v>
      </c>
    </row>
    <row r="7" spans="1:15" ht="24" customHeight="1">
      <c r="A7" s="338"/>
      <c r="B7" s="850" t="s">
        <v>393</v>
      </c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</row>
    <row r="8" spans="1:15" ht="15" customHeight="1">
      <c r="A8" s="417" t="s">
        <v>72</v>
      </c>
      <c r="B8" s="1070" t="s">
        <v>394</v>
      </c>
      <c r="C8" s="1070"/>
      <c r="D8" s="1070"/>
      <c r="E8" s="1070"/>
      <c r="F8" s="1070"/>
      <c r="G8" s="1070"/>
      <c r="H8" s="1070"/>
      <c r="I8" s="1070"/>
      <c r="J8" s="1070"/>
      <c r="K8" s="1070"/>
      <c r="L8" s="1070"/>
      <c r="M8" s="1070"/>
      <c r="N8" s="1070"/>
      <c r="O8" s="1071"/>
    </row>
    <row r="9" spans="1:15" ht="23.25" customHeight="1">
      <c r="A9" s="1072" t="s">
        <v>10</v>
      </c>
      <c r="B9" s="952" t="s">
        <v>395</v>
      </c>
      <c r="C9" s="1075" t="s">
        <v>162</v>
      </c>
      <c r="D9" s="290" t="s">
        <v>396</v>
      </c>
      <c r="E9" s="484">
        <f>E10</f>
        <v>14144.179999999998</v>
      </c>
      <c r="F9" s="484">
        <f>F10</f>
        <v>14144.179999999998</v>
      </c>
      <c r="G9" s="342">
        <f>G10</f>
        <v>0</v>
      </c>
      <c r="H9" s="342">
        <f>H10</f>
        <v>0</v>
      </c>
      <c r="I9" s="342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073"/>
      <c r="B10" s="1074"/>
      <c r="C10" s="1076"/>
      <c r="D10" s="1077" t="s">
        <v>5</v>
      </c>
      <c r="E10" s="1078">
        <f>SUM(F10:I10)</f>
        <v>14144.179999999998</v>
      </c>
      <c r="F10" s="1079">
        <f>14314.3-170.12</f>
        <v>14144.179999999998</v>
      </c>
      <c r="G10" s="1066">
        <v>0</v>
      </c>
      <c r="H10" s="1066">
        <v>0</v>
      </c>
      <c r="I10" s="1066">
        <v>0</v>
      </c>
      <c r="J10" s="367" t="s">
        <v>397</v>
      </c>
      <c r="K10" s="418">
        <v>100</v>
      </c>
      <c r="L10" s="418">
        <v>0</v>
      </c>
      <c r="M10" s="418">
        <v>0</v>
      </c>
      <c r="N10" s="418">
        <v>0</v>
      </c>
      <c r="O10" s="930" t="s">
        <v>398</v>
      </c>
    </row>
    <row r="11" spans="1:15" ht="34.5" customHeight="1">
      <c r="A11" s="1073"/>
      <c r="B11" s="1074"/>
      <c r="C11" s="1076"/>
      <c r="D11" s="1077"/>
      <c r="E11" s="1078"/>
      <c r="F11" s="1079"/>
      <c r="G11" s="1066"/>
      <c r="H11" s="1066"/>
      <c r="I11" s="1066"/>
      <c r="J11" s="367" t="s">
        <v>399</v>
      </c>
      <c r="K11" s="340" t="s">
        <v>400</v>
      </c>
      <c r="L11" s="340">
        <v>0</v>
      </c>
      <c r="M11" s="340">
        <v>0</v>
      </c>
      <c r="N11" s="340">
        <v>0</v>
      </c>
      <c r="O11" s="930"/>
    </row>
    <row r="12" spans="1:15" ht="15" customHeight="1" thickBot="1">
      <c r="A12" s="1073"/>
      <c r="B12" s="1074"/>
      <c r="C12" s="1076"/>
      <c r="D12" s="1060"/>
      <c r="E12" s="1054"/>
      <c r="F12" s="1080"/>
      <c r="G12" s="1067"/>
      <c r="H12" s="1067"/>
      <c r="I12" s="1067"/>
      <c r="J12" s="367" t="s">
        <v>401</v>
      </c>
      <c r="K12" s="418">
        <v>100</v>
      </c>
      <c r="L12" s="418">
        <v>0</v>
      </c>
      <c r="M12" s="418">
        <v>0</v>
      </c>
      <c r="N12" s="418">
        <v>0</v>
      </c>
      <c r="O12" s="930"/>
    </row>
    <row r="13" spans="1:15" ht="11.25" customHeight="1">
      <c r="A13" s="778"/>
      <c r="B13" s="1046" t="s">
        <v>23</v>
      </c>
      <c r="C13" s="1048"/>
      <c r="D13" s="1068" t="s">
        <v>396</v>
      </c>
      <c r="E13" s="1050">
        <f>SUM(F13:I14)</f>
        <v>14144.179999999998</v>
      </c>
      <c r="F13" s="1050">
        <f>SUM(F15:F15)</f>
        <v>14144.179999999998</v>
      </c>
      <c r="G13" s="1050">
        <f>SUM(G15:G15)</f>
        <v>0</v>
      </c>
      <c r="H13" s="1050">
        <f>SUM(H15:H15)</f>
        <v>0</v>
      </c>
      <c r="I13" s="1052">
        <f>SUM(I15:I15)</f>
        <v>0</v>
      </c>
      <c r="J13" s="1038"/>
      <c r="K13" s="778"/>
      <c r="L13" s="778"/>
      <c r="M13" s="778"/>
      <c r="N13" s="778"/>
      <c r="O13" s="778"/>
    </row>
    <row r="14" spans="1:15" ht="11.25" customHeight="1">
      <c r="A14" s="778"/>
      <c r="B14" s="1046"/>
      <c r="C14" s="1048"/>
      <c r="D14" s="1069"/>
      <c r="E14" s="1051"/>
      <c r="F14" s="1051"/>
      <c r="G14" s="1051"/>
      <c r="H14" s="1051"/>
      <c r="I14" s="1053"/>
      <c r="J14" s="1038"/>
      <c r="K14" s="778"/>
      <c r="L14" s="778"/>
      <c r="M14" s="778"/>
      <c r="N14" s="778"/>
      <c r="O14" s="778"/>
    </row>
    <row r="15" spans="1:15" ht="11.25" customHeight="1">
      <c r="A15" s="778"/>
      <c r="B15" s="1046"/>
      <c r="C15" s="1048"/>
      <c r="D15" s="419" t="s">
        <v>5</v>
      </c>
      <c r="E15" s="495">
        <f>SUM(E10)</f>
        <v>14144.179999999998</v>
      </c>
      <c r="F15" s="495">
        <f>SUM(F10)</f>
        <v>14144.179999999998</v>
      </c>
      <c r="G15" s="495">
        <f>SUM(G10)</f>
        <v>0</v>
      </c>
      <c r="H15" s="495">
        <f>SUM(H10)</f>
        <v>0</v>
      </c>
      <c r="I15" s="496">
        <f>SUM(I10)</f>
        <v>0</v>
      </c>
      <c r="J15" s="1038"/>
      <c r="K15" s="778"/>
      <c r="L15" s="778"/>
      <c r="M15" s="778"/>
      <c r="N15" s="778"/>
      <c r="O15" s="778"/>
    </row>
    <row r="16" spans="1:15" ht="11.25" customHeight="1" thickBot="1">
      <c r="A16" s="773"/>
      <c r="B16" s="1047"/>
      <c r="C16" s="1049"/>
      <c r="D16" s="420" t="s">
        <v>6</v>
      </c>
      <c r="E16" s="497">
        <v>0</v>
      </c>
      <c r="F16" s="497">
        <v>0</v>
      </c>
      <c r="G16" s="497">
        <v>0</v>
      </c>
      <c r="H16" s="497">
        <v>0</v>
      </c>
      <c r="I16" s="498">
        <v>0</v>
      </c>
      <c r="J16" s="1039"/>
      <c r="K16" s="773"/>
      <c r="L16" s="773"/>
      <c r="M16" s="773"/>
      <c r="N16" s="773"/>
      <c r="O16" s="773"/>
    </row>
    <row r="17" spans="1:15" ht="12.75" customHeight="1">
      <c r="A17" s="421" t="s">
        <v>24</v>
      </c>
      <c r="B17" s="1058" t="s">
        <v>402</v>
      </c>
      <c r="C17" s="1058"/>
      <c r="D17" s="1059"/>
      <c r="E17" s="1059"/>
      <c r="F17" s="1059"/>
      <c r="G17" s="1059"/>
      <c r="H17" s="1059"/>
      <c r="I17" s="1059"/>
      <c r="J17" s="1058"/>
      <c r="K17" s="1058"/>
      <c r="L17" s="1058"/>
      <c r="M17" s="1058"/>
      <c r="N17" s="1058"/>
      <c r="O17" s="1058"/>
    </row>
    <row r="18" spans="1:15" ht="22.5" customHeight="1">
      <c r="A18" s="1060" t="s">
        <v>26</v>
      </c>
      <c r="B18" s="844" t="s">
        <v>403</v>
      </c>
      <c r="C18" s="931" t="s">
        <v>162</v>
      </c>
      <c r="D18" s="290" t="s">
        <v>396</v>
      </c>
      <c r="E18" s="499">
        <f>E19</f>
        <v>1812.86</v>
      </c>
      <c r="F18" s="499">
        <f>F19</f>
        <v>1812.86</v>
      </c>
      <c r="G18" s="499">
        <f>G19</f>
        <v>0</v>
      </c>
      <c r="H18" s="499">
        <f>H19</f>
        <v>0</v>
      </c>
      <c r="I18" s="499">
        <f>I19</f>
        <v>0</v>
      </c>
      <c r="J18" s="422"/>
      <c r="K18" s="422"/>
      <c r="L18" s="422"/>
      <c r="M18" s="422"/>
      <c r="N18" s="422"/>
      <c r="O18" s="422"/>
    </row>
    <row r="19" spans="1:15" ht="12.75" customHeight="1">
      <c r="A19" s="1061"/>
      <c r="B19" s="1063"/>
      <c r="C19" s="662"/>
      <c r="D19" s="1060" t="s">
        <v>5</v>
      </c>
      <c r="E19" s="1054">
        <f>SUM(F19:I19)</f>
        <v>1812.86</v>
      </c>
      <c r="F19" s="1054">
        <f>1836.8-24+0.06</f>
        <v>1812.86</v>
      </c>
      <c r="G19" s="1054">
        <v>0</v>
      </c>
      <c r="H19" s="1054">
        <v>0</v>
      </c>
      <c r="I19" s="1054">
        <v>0</v>
      </c>
      <c r="J19" s="1056" t="s">
        <v>404</v>
      </c>
      <c r="K19" s="1057">
        <v>100</v>
      </c>
      <c r="L19" s="1057">
        <v>0</v>
      </c>
      <c r="M19" s="1057">
        <v>0</v>
      </c>
      <c r="N19" s="1057">
        <v>0</v>
      </c>
      <c r="O19" s="930" t="s">
        <v>398</v>
      </c>
    </row>
    <row r="20" spans="1:15" ht="11.25" customHeight="1">
      <c r="A20" s="1061"/>
      <c r="B20" s="1063"/>
      <c r="C20" s="662"/>
      <c r="D20" s="1065"/>
      <c r="E20" s="1055"/>
      <c r="F20" s="1055"/>
      <c r="G20" s="1055"/>
      <c r="H20" s="1055"/>
      <c r="I20" s="1055"/>
      <c r="J20" s="1056"/>
      <c r="K20" s="657"/>
      <c r="L20" s="657"/>
      <c r="M20" s="657"/>
      <c r="N20" s="657"/>
      <c r="O20" s="930"/>
    </row>
    <row r="21" spans="1:15" ht="24.75" customHeight="1" thickBot="1">
      <c r="A21" s="1062"/>
      <c r="B21" s="1064"/>
      <c r="C21" s="663"/>
      <c r="D21" s="1065"/>
      <c r="E21" s="1055"/>
      <c r="F21" s="1055"/>
      <c r="G21" s="1055"/>
      <c r="H21" s="1055"/>
      <c r="I21" s="1055"/>
      <c r="J21" s="423" t="s">
        <v>405</v>
      </c>
      <c r="K21" s="418">
        <v>100</v>
      </c>
      <c r="L21" s="418">
        <v>0</v>
      </c>
      <c r="M21" s="418">
        <v>0</v>
      </c>
      <c r="N21" s="418">
        <v>0</v>
      </c>
      <c r="O21" s="930"/>
    </row>
    <row r="22" spans="1:15" ht="10.5" customHeight="1">
      <c r="A22" s="772"/>
      <c r="B22" s="1045" t="s">
        <v>43</v>
      </c>
      <c r="C22" s="851"/>
      <c r="D22" s="424" t="s">
        <v>11</v>
      </c>
      <c r="E22" s="1050">
        <f>SUM(F22:I22)</f>
        <v>1812.86</v>
      </c>
      <c r="F22" s="1050">
        <f>SUM(F24:F24)</f>
        <v>1812.86</v>
      </c>
      <c r="G22" s="1050">
        <f>SUM(G24:G24)</f>
        <v>0</v>
      </c>
      <c r="H22" s="1050">
        <f>SUM(H24:H24)</f>
        <v>0</v>
      </c>
      <c r="I22" s="1052">
        <f>SUM(I24:I24)</f>
        <v>0</v>
      </c>
      <c r="J22" s="938"/>
      <c r="K22" s="772"/>
      <c r="L22" s="772"/>
      <c r="M22" s="772"/>
      <c r="N22" s="772"/>
      <c r="O22" s="772"/>
    </row>
    <row r="23" spans="1:15" ht="10.5" customHeight="1">
      <c r="A23" s="778"/>
      <c r="B23" s="1046"/>
      <c r="C23" s="1048"/>
      <c r="D23" s="425" t="s">
        <v>12</v>
      </c>
      <c r="E23" s="1051"/>
      <c r="F23" s="1051"/>
      <c r="G23" s="1051"/>
      <c r="H23" s="1051"/>
      <c r="I23" s="1053"/>
      <c r="J23" s="1038"/>
      <c r="K23" s="778"/>
      <c r="L23" s="778"/>
      <c r="M23" s="778"/>
      <c r="N23" s="778"/>
      <c r="O23" s="778"/>
    </row>
    <row r="24" spans="1:15" ht="15" customHeight="1">
      <c r="A24" s="778"/>
      <c r="B24" s="1046"/>
      <c r="C24" s="1048"/>
      <c r="D24" s="419" t="s">
        <v>5</v>
      </c>
      <c r="E24" s="495">
        <f>SUM(E19)</f>
        <v>1812.86</v>
      </c>
      <c r="F24" s="495">
        <f>SUM(F19)</f>
        <v>1812.86</v>
      </c>
      <c r="G24" s="495">
        <f>SUM(G19)</f>
        <v>0</v>
      </c>
      <c r="H24" s="495">
        <f>SUM(H19)</f>
        <v>0</v>
      </c>
      <c r="I24" s="496">
        <f>SUM(I19)</f>
        <v>0</v>
      </c>
      <c r="J24" s="1038"/>
      <c r="K24" s="778"/>
      <c r="L24" s="778"/>
      <c r="M24" s="778"/>
      <c r="N24" s="778"/>
      <c r="O24" s="778"/>
    </row>
    <row r="25" spans="1:15" ht="15" customHeight="1" thickBot="1">
      <c r="A25" s="773"/>
      <c r="B25" s="1047"/>
      <c r="C25" s="1049"/>
      <c r="D25" s="426" t="s">
        <v>6</v>
      </c>
      <c r="E25" s="427">
        <v>0</v>
      </c>
      <c r="F25" s="427">
        <v>0</v>
      </c>
      <c r="G25" s="427">
        <v>0</v>
      </c>
      <c r="H25" s="427">
        <v>0</v>
      </c>
      <c r="I25" s="428">
        <v>0</v>
      </c>
      <c r="J25" s="1039"/>
      <c r="K25" s="773"/>
      <c r="L25" s="773"/>
      <c r="M25" s="773"/>
      <c r="N25" s="773"/>
      <c r="O25" s="773"/>
    </row>
    <row r="26" spans="1:15" s="430" customFormat="1" ht="12" customHeight="1">
      <c r="A26" s="1035"/>
      <c r="B26" s="1040" t="s">
        <v>13</v>
      </c>
      <c r="C26" s="939"/>
      <c r="D26" s="429" t="s">
        <v>11</v>
      </c>
      <c r="E26" s="1043">
        <f>SUM(E28:E28)</f>
        <v>15957.039999999999</v>
      </c>
      <c r="F26" s="1043">
        <f>SUM(F28:F28)</f>
        <v>15957.039999999999</v>
      </c>
      <c r="G26" s="833">
        <f>SUM(G28:G28)</f>
        <v>0</v>
      </c>
      <c r="H26" s="833">
        <f>SUM(H28:H28)</f>
        <v>0</v>
      </c>
      <c r="I26" s="835">
        <f>SUM(I28:I28)</f>
        <v>0</v>
      </c>
      <c r="J26" s="938"/>
      <c r="K26" s="1035"/>
      <c r="L26" s="1035"/>
      <c r="M26" s="1035"/>
      <c r="N26" s="1035"/>
      <c r="O26" s="1035"/>
    </row>
    <row r="27" spans="1:15" s="430" customFormat="1" ht="12" customHeight="1">
      <c r="A27" s="1036"/>
      <c r="B27" s="1041"/>
      <c r="C27" s="1042"/>
      <c r="D27" s="431" t="s">
        <v>12</v>
      </c>
      <c r="E27" s="1044"/>
      <c r="F27" s="1044"/>
      <c r="G27" s="834"/>
      <c r="H27" s="834"/>
      <c r="I27" s="836"/>
      <c r="J27" s="1038"/>
      <c r="K27" s="1036"/>
      <c r="L27" s="1036"/>
      <c r="M27" s="1036"/>
      <c r="N27" s="1036"/>
      <c r="O27" s="1036"/>
    </row>
    <row r="28" spans="1:15" s="430" customFormat="1" ht="12" customHeight="1">
      <c r="A28" s="1036"/>
      <c r="B28" s="1041"/>
      <c r="C28" s="1042"/>
      <c r="D28" s="431" t="s">
        <v>5</v>
      </c>
      <c r="E28" s="494">
        <f>SUM(F28:I28)</f>
        <v>15957.039999999999</v>
      </c>
      <c r="F28" s="494">
        <f>SUM(F15+F24)</f>
        <v>15957.039999999999</v>
      </c>
      <c r="G28" s="342">
        <f>SUM(G15+G24)</f>
        <v>0</v>
      </c>
      <c r="H28" s="342">
        <f>SUM(H15+H24)</f>
        <v>0</v>
      </c>
      <c r="I28" s="343">
        <f>SUM(I15+I24)</f>
        <v>0</v>
      </c>
      <c r="J28" s="1038"/>
      <c r="K28" s="1036"/>
      <c r="L28" s="1036"/>
      <c r="M28" s="1036"/>
      <c r="N28" s="1036"/>
      <c r="O28" s="1036"/>
    </row>
    <row r="29" spans="1:15" s="430" customFormat="1" ht="12" customHeight="1" thickBot="1">
      <c r="A29" s="1037"/>
      <c r="B29" s="771"/>
      <c r="C29" s="941"/>
      <c r="D29" s="432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039"/>
      <c r="K29" s="1037"/>
      <c r="L29" s="1037"/>
      <c r="M29" s="1037"/>
      <c r="N29" s="1037"/>
      <c r="O29" s="1037"/>
    </row>
  </sheetData>
  <sheetProtection/>
  <mergeCells count="80">
    <mergeCell ref="F1:O1"/>
    <mergeCell ref="A2:O2"/>
    <mergeCell ref="A4:A5"/>
    <mergeCell ref="B4:B5"/>
    <mergeCell ref="C4:C5"/>
    <mergeCell ref="D4:D5"/>
    <mergeCell ref="E4:I4"/>
    <mergeCell ref="J4:N4"/>
    <mergeCell ref="O4:O5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I13:I14"/>
    <mergeCell ref="J13:J16"/>
    <mergeCell ref="K13:K16"/>
    <mergeCell ref="L13:L16"/>
    <mergeCell ref="M13:M16"/>
    <mergeCell ref="N13:N16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9:I21"/>
    <mergeCell ref="J19:J20"/>
    <mergeCell ref="K19:K20"/>
    <mergeCell ref="L19:L20"/>
    <mergeCell ref="M19:M20"/>
    <mergeCell ref="N19:N20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F61" sqref="F61"/>
    </sheetView>
  </sheetViews>
  <sheetFormatPr defaultColWidth="19.7109375" defaultRowHeight="18.75" customHeight="1"/>
  <cols>
    <col min="1" max="1" width="5.28125" style="233" customWidth="1"/>
    <col min="2" max="2" width="25.140625" style="233" customWidth="1"/>
    <col min="3" max="3" width="8.8515625" style="325" customWidth="1"/>
    <col min="4" max="5" width="8.00390625" style="325" customWidth="1"/>
    <col min="6" max="6" width="7.28125" style="325" customWidth="1"/>
    <col min="7" max="7" width="7.421875" style="325" customWidth="1"/>
    <col min="8" max="10" width="7.8515625" style="325" customWidth="1"/>
    <col min="11" max="11" width="29.00390625" style="233" customWidth="1"/>
    <col min="12" max="16" width="4.28125" style="233" customWidth="1"/>
    <col min="17" max="17" width="19.7109375" style="233" customWidth="1"/>
    <col min="18" max="16384" width="19.7109375" style="233" customWidth="1"/>
  </cols>
  <sheetData>
    <row r="1" spans="8:17" ht="57.75" customHeight="1">
      <c r="H1" s="1118" t="s">
        <v>390</v>
      </c>
      <c r="I1" s="1118"/>
      <c r="J1" s="1118"/>
      <c r="K1" s="1118"/>
      <c r="L1" s="1118"/>
      <c r="M1" s="1118"/>
      <c r="N1" s="1118"/>
      <c r="O1" s="1118"/>
      <c r="P1" s="1118"/>
      <c r="Q1" s="1118"/>
    </row>
    <row r="2" spans="1:17" ht="39" customHeight="1">
      <c r="A2" s="976" t="s">
        <v>389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</row>
    <row r="3" ht="12.75" customHeight="1">
      <c r="Q3" s="413" t="s">
        <v>7</v>
      </c>
    </row>
    <row r="4" spans="1:17" ht="42.75" customHeight="1">
      <c r="A4" s="977" t="s">
        <v>16</v>
      </c>
      <c r="B4" s="978" t="s">
        <v>15</v>
      </c>
      <c r="C4" s="977" t="s">
        <v>8</v>
      </c>
      <c r="D4" s="977" t="s">
        <v>9</v>
      </c>
      <c r="E4" s="943" t="s">
        <v>0</v>
      </c>
      <c r="F4" s="980"/>
      <c r="G4" s="980"/>
      <c r="H4" s="980"/>
      <c r="I4" s="980"/>
      <c r="J4" s="981"/>
      <c r="K4" s="943" t="s">
        <v>388</v>
      </c>
      <c r="L4" s="980"/>
      <c r="M4" s="980"/>
      <c r="N4" s="980"/>
      <c r="O4" s="980"/>
      <c r="P4" s="981"/>
      <c r="Q4" s="978" t="s">
        <v>14</v>
      </c>
    </row>
    <row r="5" spans="1:17" ht="12" customHeight="1">
      <c r="A5" s="977"/>
      <c r="B5" s="979"/>
      <c r="C5" s="977"/>
      <c r="D5" s="977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979"/>
    </row>
    <row r="6" spans="1:17" ht="13.5" customHeight="1">
      <c r="A6" s="344">
        <v>1</v>
      </c>
      <c r="B6" s="344">
        <v>2</v>
      </c>
      <c r="C6" s="344">
        <v>3</v>
      </c>
      <c r="D6" s="344">
        <v>4</v>
      </c>
      <c r="E6" s="344">
        <v>5</v>
      </c>
      <c r="F6" s="344">
        <v>6</v>
      </c>
      <c r="G6" s="344">
        <v>7</v>
      </c>
      <c r="H6" s="344">
        <v>8</v>
      </c>
      <c r="I6" s="344">
        <v>9</v>
      </c>
      <c r="J6" s="344">
        <v>10</v>
      </c>
      <c r="K6" s="344">
        <v>11</v>
      </c>
      <c r="L6" s="344">
        <v>12</v>
      </c>
      <c r="M6" s="344">
        <v>13</v>
      </c>
      <c r="N6" s="344">
        <v>14</v>
      </c>
      <c r="O6" s="344">
        <v>15</v>
      </c>
      <c r="P6" s="344">
        <v>16</v>
      </c>
      <c r="Q6" s="344">
        <v>17</v>
      </c>
    </row>
    <row r="7" spans="1:17" ht="14.25" customHeight="1">
      <c r="A7" s="344"/>
      <c r="B7" s="832" t="s">
        <v>387</v>
      </c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</row>
    <row r="8" spans="1:17" ht="13.5" customHeight="1">
      <c r="A8" s="338"/>
      <c r="B8" s="1114" t="s">
        <v>386</v>
      </c>
      <c r="C8" s="1115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6"/>
    </row>
    <row r="9" spans="1:17" ht="36" customHeight="1">
      <c r="A9" s="1060" t="s">
        <v>10</v>
      </c>
      <c r="B9" s="1099" t="s">
        <v>385</v>
      </c>
      <c r="C9" s="1117" t="s">
        <v>42</v>
      </c>
      <c r="D9" s="400" t="s">
        <v>311</v>
      </c>
      <c r="E9" s="384">
        <f>E10</f>
        <v>2530.4</v>
      </c>
      <c r="F9" s="384">
        <f>F10</f>
        <v>830.4</v>
      </c>
      <c r="G9" s="384">
        <f>G10</f>
        <v>1700</v>
      </c>
      <c r="H9" s="384">
        <v>0</v>
      </c>
      <c r="I9" s="384">
        <f>I10</f>
        <v>0</v>
      </c>
      <c r="J9" s="384">
        <f>J10</f>
        <v>0</v>
      </c>
      <c r="K9" s="369" t="s">
        <v>384</v>
      </c>
      <c r="L9" s="374">
        <v>100</v>
      </c>
      <c r="M9" s="374">
        <v>100</v>
      </c>
      <c r="N9" s="374">
        <v>0</v>
      </c>
      <c r="O9" s="374">
        <v>0</v>
      </c>
      <c r="P9" s="374">
        <v>0</v>
      </c>
      <c r="Q9" s="931" t="s">
        <v>383</v>
      </c>
    </row>
    <row r="10" spans="1:17" ht="35.25" customHeight="1">
      <c r="A10" s="1065"/>
      <c r="B10" s="1106"/>
      <c r="C10" s="1113"/>
      <c r="D10" s="396" t="s">
        <v>5</v>
      </c>
      <c r="E10" s="376">
        <f>F10+G10+H10+I10+J10</f>
        <v>2530.4</v>
      </c>
      <c r="F10" s="394">
        <f>795.4+35</f>
        <v>830.4</v>
      </c>
      <c r="G10" s="395">
        <f>1239+10+451</f>
        <v>1700</v>
      </c>
      <c r="H10" s="394">
        <v>0</v>
      </c>
      <c r="I10" s="394">
        <v>0</v>
      </c>
      <c r="J10" s="394">
        <v>0</v>
      </c>
      <c r="K10" s="844" t="s">
        <v>382</v>
      </c>
      <c r="L10" s="1060">
        <v>0</v>
      </c>
      <c r="M10" s="1060">
        <v>0</v>
      </c>
      <c r="N10" s="1060">
        <v>0</v>
      </c>
      <c r="O10" s="1060">
        <v>0</v>
      </c>
      <c r="P10" s="1060">
        <v>0</v>
      </c>
      <c r="Q10" s="970"/>
    </row>
    <row r="11" spans="1:17" ht="35.25" customHeight="1" thickBot="1">
      <c r="A11" s="1093"/>
      <c r="B11" s="412"/>
      <c r="C11" s="411"/>
      <c r="D11" s="410"/>
      <c r="E11" s="410"/>
      <c r="F11" s="410"/>
      <c r="G11" s="410"/>
      <c r="H11" s="410"/>
      <c r="I11" s="410"/>
      <c r="J11" s="410"/>
      <c r="K11" s="971"/>
      <c r="L11" s="1093"/>
      <c r="M11" s="1093"/>
      <c r="N11" s="1093"/>
      <c r="O11" s="1093"/>
      <c r="P11" s="1093"/>
      <c r="Q11" s="929"/>
    </row>
    <row r="12" spans="1:17" ht="24" customHeight="1" thickBot="1">
      <c r="A12" s="409"/>
      <c r="B12" s="350" t="s">
        <v>381</v>
      </c>
      <c r="C12" s="408"/>
      <c r="D12" s="372" t="s">
        <v>311</v>
      </c>
      <c r="E12" s="407">
        <f>F12+G12+H12+I12+J12</f>
        <v>2530.4</v>
      </c>
      <c r="F12" s="407">
        <f>F9</f>
        <v>830.4</v>
      </c>
      <c r="G12" s="407">
        <f>G9</f>
        <v>1700</v>
      </c>
      <c r="H12" s="407">
        <f>H9</f>
        <v>0</v>
      </c>
      <c r="I12" s="407">
        <f>I9</f>
        <v>0</v>
      </c>
      <c r="J12" s="406">
        <f>J9</f>
        <v>0</v>
      </c>
      <c r="K12" s="369"/>
      <c r="L12" s="387"/>
      <c r="M12" s="387"/>
      <c r="N12" s="387"/>
      <c r="O12" s="387"/>
      <c r="P12" s="387"/>
      <c r="Q12" s="405"/>
    </row>
    <row r="13" spans="1:17" ht="11.25" customHeight="1">
      <c r="A13" s="374"/>
      <c r="B13" s="1110" t="s">
        <v>380</v>
      </c>
      <c r="C13" s="1111"/>
      <c r="D13" s="1111"/>
      <c r="E13" s="1111"/>
      <c r="F13" s="1111"/>
      <c r="G13" s="1111"/>
      <c r="H13" s="1111"/>
      <c r="I13" s="1111"/>
      <c r="J13" s="1111"/>
      <c r="K13" s="1111"/>
      <c r="L13" s="1111"/>
      <c r="M13" s="1111"/>
      <c r="N13" s="1111"/>
      <c r="O13" s="1111"/>
      <c r="P13" s="1111"/>
      <c r="Q13" s="1112"/>
    </row>
    <row r="14" spans="1:17" ht="82.5" customHeight="1">
      <c r="A14" s="1060" t="s">
        <v>26</v>
      </c>
      <c r="B14" s="850" t="s">
        <v>379</v>
      </c>
      <c r="C14" s="1060" t="s">
        <v>42</v>
      </c>
      <c r="D14" s="400" t="s">
        <v>311</v>
      </c>
      <c r="E14" s="404">
        <f>F14+G14+H14+I14+J14</f>
        <v>1601.7</v>
      </c>
      <c r="F14" s="404">
        <f>770.7+20</f>
        <v>790.7</v>
      </c>
      <c r="G14" s="404">
        <f>801+10</f>
        <v>811</v>
      </c>
      <c r="H14" s="404">
        <v>0</v>
      </c>
      <c r="I14" s="404">
        <v>0</v>
      </c>
      <c r="J14" s="404">
        <v>0</v>
      </c>
      <c r="K14" s="341" t="s">
        <v>378</v>
      </c>
      <c r="L14" s="374">
        <v>100</v>
      </c>
      <c r="M14" s="374">
        <v>100</v>
      </c>
      <c r="N14" s="374">
        <v>0</v>
      </c>
      <c r="O14" s="374">
        <v>0</v>
      </c>
      <c r="P14" s="374">
        <v>0</v>
      </c>
      <c r="Q14" s="1099" t="s">
        <v>377</v>
      </c>
    </row>
    <row r="15" spans="1:17" ht="27" customHeight="1">
      <c r="A15" s="1097"/>
      <c r="B15" s="1098"/>
      <c r="C15" s="1113"/>
      <c r="D15" s="1060" t="s">
        <v>5</v>
      </c>
      <c r="E15" s="1067">
        <f>F15+G15+H15+I15+J15</f>
        <v>1601.7</v>
      </c>
      <c r="F15" s="1067">
        <f>770.7+20</f>
        <v>790.7</v>
      </c>
      <c r="G15" s="1067">
        <f>801+10</f>
        <v>811</v>
      </c>
      <c r="H15" s="1067">
        <v>0</v>
      </c>
      <c r="I15" s="1067">
        <v>0</v>
      </c>
      <c r="J15" s="1067">
        <v>0</v>
      </c>
      <c r="K15" s="341" t="s">
        <v>376</v>
      </c>
      <c r="L15" s="374">
        <v>95</v>
      </c>
      <c r="M15" s="374">
        <v>95</v>
      </c>
      <c r="N15" s="374">
        <v>0</v>
      </c>
      <c r="O15" s="374">
        <v>0</v>
      </c>
      <c r="P15" s="374">
        <v>0</v>
      </c>
      <c r="Q15" s="1106"/>
    </row>
    <row r="16" spans="1:17" ht="36.75" customHeight="1" thickBot="1">
      <c r="A16" s="1105"/>
      <c r="B16" s="1098"/>
      <c r="C16" s="1113"/>
      <c r="D16" s="1109"/>
      <c r="E16" s="1108"/>
      <c r="F16" s="1108"/>
      <c r="G16" s="1108"/>
      <c r="H16" s="1108"/>
      <c r="I16" s="1108"/>
      <c r="J16" s="1108"/>
      <c r="K16" s="341" t="s">
        <v>375</v>
      </c>
      <c r="L16" s="374" t="s">
        <v>358</v>
      </c>
      <c r="M16" s="374" t="s">
        <v>358</v>
      </c>
      <c r="N16" s="374">
        <v>0</v>
      </c>
      <c r="O16" s="374">
        <v>0</v>
      </c>
      <c r="P16" s="374">
        <v>0</v>
      </c>
      <c r="Q16" s="1100"/>
    </row>
    <row r="17" spans="1:17" ht="30" customHeight="1" thickBot="1">
      <c r="A17" s="373"/>
      <c r="B17" s="341" t="s">
        <v>374</v>
      </c>
      <c r="C17" s="373"/>
      <c r="D17" s="372" t="s">
        <v>311</v>
      </c>
      <c r="E17" s="371">
        <f>SUM(F17:J17)</f>
        <v>1601.7</v>
      </c>
      <c r="F17" s="371">
        <f>F14</f>
        <v>790.7</v>
      </c>
      <c r="G17" s="371">
        <f>G14</f>
        <v>811</v>
      </c>
      <c r="H17" s="371">
        <f>H14</f>
        <v>0</v>
      </c>
      <c r="I17" s="371">
        <f>I14</f>
        <v>0</v>
      </c>
      <c r="J17" s="370">
        <f>J14</f>
        <v>0</v>
      </c>
      <c r="K17" s="369"/>
      <c r="L17" s="368"/>
      <c r="M17" s="368"/>
      <c r="N17" s="368"/>
      <c r="O17" s="368"/>
      <c r="P17" s="368"/>
      <c r="Q17" s="367"/>
    </row>
    <row r="18" spans="1:17" ht="12.75" customHeight="1">
      <c r="A18" s="374"/>
      <c r="B18" s="1094" t="s">
        <v>373</v>
      </c>
      <c r="C18" s="1095"/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5"/>
      <c r="Q18" s="1096"/>
    </row>
    <row r="19" spans="1:17" ht="33.75" customHeight="1">
      <c r="A19" s="1060" t="s">
        <v>30</v>
      </c>
      <c r="B19" s="850" t="s">
        <v>372</v>
      </c>
      <c r="C19" s="1060" t="s">
        <v>42</v>
      </c>
      <c r="D19" s="379" t="s">
        <v>311</v>
      </c>
      <c r="E19" s="384">
        <f>SUM(F19:J19)</f>
        <v>745.3</v>
      </c>
      <c r="F19" s="384">
        <v>365.3</v>
      </c>
      <c r="G19" s="384">
        <v>380</v>
      </c>
      <c r="H19" s="384">
        <v>0</v>
      </c>
      <c r="I19" s="384">
        <v>0</v>
      </c>
      <c r="J19" s="384">
        <v>0</v>
      </c>
      <c r="K19" s="341" t="s">
        <v>371</v>
      </c>
      <c r="L19" s="374">
        <v>100</v>
      </c>
      <c r="M19" s="374">
        <v>100</v>
      </c>
      <c r="N19" s="374">
        <v>0</v>
      </c>
      <c r="O19" s="374">
        <v>0</v>
      </c>
      <c r="P19" s="374">
        <v>0</v>
      </c>
      <c r="Q19" s="1099" t="s">
        <v>351</v>
      </c>
    </row>
    <row r="20" spans="1:17" ht="60" customHeight="1">
      <c r="A20" s="1097"/>
      <c r="B20" s="1098"/>
      <c r="C20" s="1097"/>
      <c r="D20" s="1060" t="s">
        <v>5</v>
      </c>
      <c r="E20" s="1067">
        <f>SUM(F20:J21)</f>
        <v>745.3</v>
      </c>
      <c r="F20" s="1067">
        <v>365.3</v>
      </c>
      <c r="G20" s="1067">
        <v>380</v>
      </c>
      <c r="H20" s="1067">
        <v>0</v>
      </c>
      <c r="I20" s="1067">
        <v>0</v>
      </c>
      <c r="J20" s="1067">
        <v>0</v>
      </c>
      <c r="K20" s="341" t="s">
        <v>370</v>
      </c>
      <c r="L20" s="374">
        <v>25</v>
      </c>
      <c r="M20" s="374">
        <v>50</v>
      </c>
      <c r="N20" s="374">
        <v>0</v>
      </c>
      <c r="O20" s="374">
        <v>0</v>
      </c>
      <c r="P20" s="374">
        <v>0</v>
      </c>
      <c r="Q20" s="1106"/>
    </row>
    <row r="21" spans="1:17" ht="35.25" customHeight="1" thickBot="1">
      <c r="A21" s="1105"/>
      <c r="B21" s="1098"/>
      <c r="C21" s="1097"/>
      <c r="D21" s="1109"/>
      <c r="E21" s="1107"/>
      <c r="F21" s="1107"/>
      <c r="G21" s="1107"/>
      <c r="H21" s="1107"/>
      <c r="I21" s="1107"/>
      <c r="J21" s="1107"/>
      <c r="K21" s="341" t="s">
        <v>369</v>
      </c>
      <c r="L21" s="374" t="s">
        <v>358</v>
      </c>
      <c r="M21" s="374" t="s">
        <v>358</v>
      </c>
      <c r="N21" s="374">
        <v>0</v>
      </c>
      <c r="O21" s="374">
        <v>0</v>
      </c>
      <c r="P21" s="374">
        <v>0</v>
      </c>
      <c r="Q21" s="1100"/>
    </row>
    <row r="22" spans="1:17" ht="24.75" customHeight="1" thickBot="1">
      <c r="A22" s="403"/>
      <c r="B22" s="341" t="s">
        <v>368</v>
      </c>
      <c r="C22" s="373"/>
      <c r="D22" s="372" t="s">
        <v>311</v>
      </c>
      <c r="E22" s="371">
        <f>SUM(F22:J22)</f>
        <v>745.3</v>
      </c>
      <c r="F22" s="371">
        <f>F19</f>
        <v>365.3</v>
      </c>
      <c r="G22" s="371">
        <f>G19</f>
        <v>380</v>
      </c>
      <c r="H22" s="371">
        <f>H19</f>
        <v>0</v>
      </c>
      <c r="I22" s="371">
        <f>I19</f>
        <v>0</v>
      </c>
      <c r="J22" s="370">
        <f>J19</f>
        <v>0</v>
      </c>
      <c r="K22" s="402"/>
      <c r="L22" s="368"/>
      <c r="M22" s="368"/>
      <c r="N22" s="368"/>
      <c r="O22" s="368"/>
      <c r="P22" s="368"/>
      <c r="Q22" s="367"/>
    </row>
    <row r="23" spans="1:17" ht="12.75" customHeight="1">
      <c r="A23" s="401"/>
      <c r="B23" s="1094" t="s">
        <v>367</v>
      </c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6"/>
    </row>
    <row r="24" spans="1:17" ht="39" customHeight="1">
      <c r="A24" s="1060" t="s">
        <v>36</v>
      </c>
      <c r="B24" s="850" t="s">
        <v>366</v>
      </c>
      <c r="C24" s="1060" t="s">
        <v>42</v>
      </c>
      <c r="D24" s="400" t="s">
        <v>311</v>
      </c>
      <c r="E24" s="399">
        <f>SUM(F24:J24)</f>
        <v>755.3</v>
      </c>
      <c r="F24" s="399">
        <v>365.3</v>
      </c>
      <c r="G24" s="399">
        <f>380+10</f>
        <v>390</v>
      </c>
      <c r="H24" s="399">
        <v>0</v>
      </c>
      <c r="I24" s="399">
        <v>0</v>
      </c>
      <c r="J24" s="399">
        <v>0</v>
      </c>
      <c r="K24" s="341" t="s">
        <v>365</v>
      </c>
      <c r="L24" s="375">
        <v>71.6</v>
      </c>
      <c r="M24" s="375">
        <v>72</v>
      </c>
      <c r="N24" s="375">
        <v>0</v>
      </c>
      <c r="O24" s="375">
        <v>0</v>
      </c>
      <c r="P24" s="375">
        <v>0</v>
      </c>
      <c r="Q24" s="1099" t="s">
        <v>351</v>
      </c>
    </row>
    <row r="25" spans="1:17" ht="80.25" customHeight="1">
      <c r="A25" s="1097"/>
      <c r="B25" s="1098"/>
      <c r="C25" s="1097"/>
      <c r="D25" s="398" t="s">
        <v>5</v>
      </c>
      <c r="E25" s="397">
        <f>SUM(F25:J25)</f>
        <v>755.3</v>
      </c>
      <c r="F25" s="397">
        <v>365.3</v>
      </c>
      <c r="G25" s="397">
        <f>380+10</f>
        <v>390</v>
      </c>
      <c r="H25" s="397">
        <v>0</v>
      </c>
      <c r="I25" s="397">
        <v>0</v>
      </c>
      <c r="J25" s="397">
        <v>0</v>
      </c>
      <c r="K25" s="341" t="s">
        <v>364</v>
      </c>
      <c r="L25" s="375">
        <v>90</v>
      </c>
      <c r="M25" s="375">
        <v>90</v>
      </c>
      <c r="N25" s="375">
        <v>0</v>
      </c>
      <c r="O25" s="375">
        <v>0</v>
      </c>
      <c r="P25" s="375">
        <v>0</v>
      </c>
      <c r="Q25" s="1106"/>
    </row>
    <row r="26" spans="1:17" ht="36.75" customHeight="1" thickBot="1">
      <c r="A26" s="1097"/>
      <c r="B26" s="1098"/>
      <c r="C26" s="1097"/>
      <c r="D26" s="393"/>
      <c r="E26" s="392"/>
      <c r="F26" s="392"/>
      <c r="G26" s="392"/>
      <c r="H26" s="392"/>
      <c r="I26" s="392"/>
      <c r="J26" s="392"/>
      <c r="K26" s="341" t="s">
        <v>363</v>
      </c>
      <c r="L26" s="375" t="s">
        <v>358</v>
      </c>
      <c r="M26" s="375" t="s">
        <v>358</v>
      </c>
      <c r="N26" s="375">
        <v>0</v>
      </c>
      <c r="O26" s="375">
        <v>0</v>
      </c>
      <c r="P26" s="375">
        <v>0</v>
      </c>
      <c r="Q26" s="1100"/>
    </row>
    <row r="27" spans="1:17" ht="23.25" customHeight="1" thickBot="1">
      <c r="A27" s="374"/>
      <c r="B27" s="341" t="s">
        <v>362</v>
      </c>
      <c r="C27" s="373"/>
      <c r="D27" s="372" t="s">
        <v>311</v>
      </c>
      <c r="E27" s="371">
        <f>SUM(F27:J27)</f>
        <v>755.3</v>
      </c>
      <c r="F27" s="371">
        <f>F24</f>
        <v>365.3</v>
      </c>
      <c r="G27" s="371">
        <f>G24</f>
        <v>390</v>
      </c>
      <c r="H27" s="371">
        <f>H24</f>
        <v>0</v>
      </c>
      <c r="I27" s="371">
        <f>I24</f>
        <v>0</v>
      </c>
      <c r="J27" s="370">
        <f>J24</f>
        <v>0</v>
      </c>
      <c r="K27" s="369"/>
      <c r="L27" s="368"/>
      <c r="M27" s="368"/>
      <c r="N27" s="368"/>
      <c r="O27" s="368"/>
      <c r="P27" s="368"/>
      <c r="Q27" s="367"/>
    </row>
    <row r="28" spans="1:17" ht="14.25" customHeight="1">
      <c r="A28" s="388"/>
      <c r="B28" s="1094" t="s">
        <v>361</v>
      </c>
      <c r="C28" s="1095"/>
      <c r="D28" s="1095"/>
      <c r="E28" s="1095"/>
      <c r="F28" s="1095"/>
      <c r="G28" s="1095"/>
      <c r="H28" s="1095"/>
      <c r="I28" s="1095"/>
      <c r="J28" s="1095"/>
      <c r="K28" s="1095"/>
      <c r="L28" s="1095"/>
      <c r="M28" s="1095"/>
      <c r="N28" s="1095"/>
      <c r="O28" s="1095"/>
      <c r="P28" s="1095"/>
      <c r="Q28" s="1096"/>
    </row>
    <row r="29" spans="1:17" ht="45.75" customHeight="1">
      <c r="A29" s="1060" t="s">
        <v>39</v>
      </c>
      <c r="B29" s="850" t="s">
        <v>360</v>
      </c>
      <c r="C29" s="1060" t="s">
        <v>42</v>
      </c>
      <c r="D29" s="379" t="s">
        <v>311</v>
      </c>
      <c r="E29" s="384">
        <f>SUM(F29:J29)</f>
        <v>491.6</v>
      </c>
      <c r="F29" s="384">
        <f>182.6+25</f>
        <v>207.6</v>
      </c>
      <c r="G29" s="384">
        <f>190+94</f>
        <v>284</v>
      </c>
      <c r="H29" s="384">
        <v>0</v>
      </c>
      <c r="I29" s="384">
        <v>0</v>
      </c>
      <c r="J29" s="384">
        <v>0</v>
      </c>
      <c r="K29" s="341" t="s">
        <v>359</v>
      </c>
      <c r="L29" s="375" t="s">
        <v>358</v>
      </c>
      <c r="M29" s="375" t="s">
        <v>358</v>
      </c>
      <c r="N29" s="375">
        <v>0</v>
      </c>
      <c r="O29" s="375">
        <v>0</v>
      </c>
      <c r="P29" s="375">
        <v>0</v>
      </c>
      <c r="Q29" s="1099" t="s">
        <v>351</v>
      </c>
    </row>
    <row r="30" spans="1:17" ht="36.75" customHeight="1">
      <c r="A30" s="1097"/>
      <c r="B30" s="1098"/>
      <c r="C30" s="1097"/>
      <c r="D30" s="396" t="s">
        <v>5</v>
      </c>
      <c r="E30" s="394">
        <f>SUM(F30:J30)</f>
        <v>491.6</v>
      </c>
      <c r="F30" s="394">
        <f>182.6+25</f>
        <v>207.6</v>
      </c>
      <c r="G30" s="395">
        <f>190+94</f>
        <v>284</v>
      </c>
      <c r="H30" s="394">
        <v>0</v>
      </c>
      <c r="I30" s="394">
        <v>0</v>
      </c>
      <c r="J30" s="394">
        <v>0</v>
      </c>
      <c r="K30" s="341" t="s">
        <v>357</v>
      </c>
      <c r="L30" s="375">
        <v>8</v>
      </c>
      <c r="M30" s="375">
        <v>5</v>
      </c>
      <c r="N30" s="375">
        <v>0</v>
      </c>
      <c r="O30" s="375">
        <v>0</v>
      </c>
      <c r="P30" s="375">
        <v>0</v>
      </c>
      <c r="Q30" s="1106"/>
    </row>
    <row r="31" spans="1:17" ht="25.5" customHeight="1" thickBot="1">
      <c r="A31" s="1105"/>
      <c r="B31" s="1098"/>
      <c r="C31" s="1097"/>
      <c r="D31" s="393"/>
      <c r="E31" s="392"/>
      <c r="F31" s="392"/>
      <c r="G31" s="392"/>
      <c r="H31" s="392"/>
      <c r="I31" s="392"/>
      <c r="J31" s="392"/>
      <c r="K31" s="341" t="s">
        <v>356</v>
      </c>
      <c r="L31" s="375">
        <v>2</v>
      </c>
      <c r="M31" s="375">
        <v>1</v>
      </c>
      <c r="N31" s="375">
        <v>0</v>
      </c>
      <c r="O31" s="375">
        <v>0</v>
      </c>
      <c r="P31" s="375">
        <v>0</v>
      </c>
      <c r="Q31" s="1100"/>
    </row>
    <row r="32" spans="1:17" ht="22.5" customHeight="1" thickBot="1">
      <c r="A32" s="373"/>
      <c r="B32" s="341" t="s">
        <v>355</v>
      </c>
      <c r="C32" s="373"/>
      <c r="D32" s="372" t="s">
        <v>311</v>
      </c>
      <c r="E32" s="371">
        <f>SUM(F32:J32)</f>
        <v>491.6</v>
      </c>
      <c r="F32" s="371">
        <f>F29</f>
        <v>207.6</v>
      </c>
      <c r="G32" s="371">
        <f>G29</f>
        <v>284</v>
      </c>
      <c r="H32" s="371">
        <f>H29</f>
        <v>0</v>
      </c>
      <c r="I32" s="371">
        <f>I29</f>
        <v>0</v>
      </c>
      <c r="J32" s="370">
        <f>J29</f>
        <v>0</v>
      </c>
      <c r="K32" s="369"/>
      <c r="L32" s="368"/>
      <c r="M32" s="368"/>
      <c r="N32" s="368"/>
      <c r="O32" s="368"/>
      <c r="P32" s="368"/>
      <c r="Q32" s="367"/>
    </row>
    <row r="33" spans="1:17" ht="14.25" customHeight="1">
      <c r="A33" s="374"/>
      <c r="B33" s="1094" t="s">
        <v>354</v>
      </c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5"/>
      <c r="O33" s="1095"/>
      <c r="P33" s="1095"/>
      <c r="Q33" s="1096"/>
    </row>
    <row r="34" spans="1:17" ht="35.25" customHeight="1">
      <c r="A34" s="1060" t="s">
        <v>118</v>
      </c>
      <c r="B34" s="850" t="s">
        <v>353</v>
      </c>
      <c r="C34" s="1060" t="s">
        <v>42</v>
      </c>
      <c r="D34" s="379" t="s">
        <v>311</v>
      </c>
      <c r="E34" s="378">
        <f>SUM(F34:J34)</f>
        <v>372.6</v>
      </c>
      <c r="F34" s="378">
        <v>182.6</v>
      </c>
      <c r="G34" s="378">
        <v>190</v>
      </c>
      <c r="H34" s="378">
        <v>0</v>
      </c>
      <c r="I34" s="378">
        <v>0</v>
      </c>
      <c r="J34" s="378">
        <v>0</v>
      </c>
      <c r="K34" s="341" t="s">
        <v>352</v>
      </c>
      <c r="L34" s="375">
        <v>41</v>
      </c>
      <c r="M34" s="375">
        <v>41</v>
      </c>
      <c r="N34" s="375">
        <v>0</v>
      </c>
      <c r="O34" s="375">
        <v>0</v>
      </c>
      <c r="P34" s="375">
        <v>0</v>
      </c>
      <c r="Q34" s="1099" t="s">
        <v>351</v>
      </c>
    </row>
    <row r="35" spans="1:17" ht="36.75" customHeight="1">
      <c r="A35" s="1097"/>
      <c r="B35" s="1098"/>
      <c r="C35" s="1097"/>
      <c r="D35" s="349" t="s">
        <v>5</v>
      </c>
      <c r="E35" s="376">
        <f>SUM(F35:J35)</f>
        <v>372.6</v>
      </c>
      <c r="F35" s="376">
        <v>182.6</v>
      </c>
      <c r="G35" s="376">
        <v>190</v>
      </c>
      <c r="H35" s="376">
        <v>0</v>
      </c>
      <c r="I35" s="376">
        <v>0</v>
      </c>
      <c r="J35" s="376">
        <v>0</v>
      </c>
      <c r="K35" s="341" t="s">
        <v>350</v>
      </c>
      <c r="L35" s="375">
        <v>37</v>
      </c>
      <c r="M35" s="375">
        <v>37</v>
      </c>
      <c r="N35" s="375">
        <v>0</v>
      </c>
      <c r="O35" s="375">
        <v>0</v>
      </c>
      <c r="P35" s="375">
        <v>0</v>
      </c>
      <c r="Q35" s="1106"/>
    </row>
    <row r="36" spans="1:17" ht="35.25" customHeight="1" thickBot="1">
      <c r="A36" s="1097"/>
      <c r="B36" s="1098"/>
      <c r="C36" s="1097"/>
      <c r="D36" s="393"/>
      <c r="E36" s="392"/>
      <c r="F36" s="392"/>
      <c r="G36" s="392"/>
      <c r="H36" s="392"/>
      <c r="I36" s="392"/>
      <c r="J36" s="392"/>
      <c r="K36" s="341" t="s">
        <v>349</v>
      </c>
      <c r="L36" s="375">
        <v>12</v>
      </c>
      <c r="M36" s="375">
        <v>15</v>
      </c>
      <c r="N36" s="375">
        <v>0</v>
      </c>
      <c r="O36" s="375">
        <v>0</v>
      </c>
      <c r="P36" s="375">
        <v>0</v>
      </c>
      <c r="Q36" s="1100"/>
    </row>
    <row r="37" spans="1:17" ht="20.25" customHeight="1" thickBot="1">
      <c r="A37" s="374"/>
      <c r="B37" s="345" t="s">
        <v>348</v>
      </c>
      <c r="C37" s="391"/>
      <c r="D37" s="372" t="s">
        <v>311</v>
      </c>
      <c r="E37" s="371">
        <f>SUM(F37:J37)</f>
        <v>372.6</v>
      </c>
      <c r="F37" s="371">
        <f>F34</f>
        <v>182.6</v>
      </c>
      <c r="G37" s="371">
        <f>G34</f>
        <v>190</v>
      </c>
      <c r="H37" s="371">
        <f>H34</f>
        <v>0</v>
      </c>
      <c r="I37" s="371">
        <f>I34</f>
        <v>0</v>
      </c>
      <c r="J37" s="370">
        <f>J34</f>
        <v>0</v>
      </c>
      <c r="K37" s="369"/>
      <c r="L37" s="368"/>
      <c r="M37" s="368"/>
      <c r="N37" s="368"/>
      <c r="O37" s="368"/>
      <c r="P37" s="368"/>
      <c r="Q37" s="367"/>
    </row>
    <row r="38" spans="1:17" ht="12" customHeight="1">
      <c r="A38" s="390"/>
      <c r="B38" s="1094" t="s">
        <v>347</v>
      </c>
      <c r="C38" s="1095"/>
      <c r="D38" s="1095"/>
      <c r="E38" s="1095"/>
      <c r="F38" s="1095"/>
      <c r="G38" s="1095"/>
      <c r="H38" s="1095"/>
      <c r="I38" s="1095"/>
      <c r="J38" s="1095"/>
      <c r="K38" s="1095"/>
      <c r="L38" s="1095"/>
      <c r="M38" s="1095"/>
      <c r="N38" s="1095"/>
      <c r="O38" s="1095"/>
      <c r="P38" s="1095"/>
      <c r="Q38" s="1096"/>
    </row>
    <row r="39" spans="1:17" ht="45" customHeight="1">
      <c r="A39" s="1060" t="s">
        <v>346</v>
      </c>
      <c r="B39" s="850" t="s">
        <v>345</v>
      </c>
      <c r="C39" s="1060" t="s">
        <v>42</v>
      </c>
      <c r="D39" s="379" t="s">
        <v>311</v>
      </c>
      <c r="E39" s="378">
        <f>SUM(F39:J39)</f>
        <v>372.6</v>
      </c>
      <c r="F39" s="378">
        <v>182.6</v>
      </c>
      <c r="G39" s="378">
        <v>190</v>
      </c>
      <c r="H39" s="378">
        <v>0</v>
      </c>
      <c r="I39" s="378">
        <v>0</v>
      </c>
      <c r="J39" s="378">
        <v>0</v>
      </c>
      <c r="K39" s="341" t="s">
        <v>344</v>
      </c>
      <c r="L39" s="375">
        <v>48</v>
      </c>
      <c r="M39" s="375">
        <v>48</v>
      </c>
      <c r="N39" s="375">
        <v>0</v>
      </c>
      <c r="O39" s="375">
        <v>0</v>
      </c>
      <c r="P39" s="375">
        <v>0</v>
      </c>
      <c r="Q39" s="1099" t="s">
        <v>337</v>
      </c>
    </row>
    <row r="40" spans="1:17" ht="46.5" customHeight="1" thickBot="1">
      <c r="A40" s="1097"/>
      <c r="B40" s="1098"/>
      <c r="C40" s="1097"/>
      <c r="D40" s="349" t="s">
        <v>5</v>
      </c>
      <c r="E40" s="376">
        <f>SUM(F40:J40)</f>
        <v>372.6</v>
      </c>
      <c r="F40" s="376">
        <v>182.6</v>
      </c>
      <c r="G40" s="376">
        <v>190</v>
      </c>
      <c r="H40" s="376">
        <v>0</v>
      </c>
      <c r="I40" s="376">
        <v>0</v>
      </c>
      <c r="J40" s="376">
        <v>0</v>
      </c>
      <c r="K40" s="341" t="s">
        <v>343</v>
      </c>
      <c r="L40" s="375">
        <v>29.5</v>
      </c>
      <c r="M40" s="375">
        <v>29.5</v>
      </c>
      <c r="N40" s="375">
        <v>0</v>
      </c>
      <c r="O40" s="375">
        <v>0</v>
      </c>
      <c r="P40" s="375">
        <v>0</v>
      </c>
      <c r="Q40" s="1100"/>
    </row>
    <row r="41" spans="1:17" ht="20.25" customHeight="1" thickBot="1">
      <c r="A41" s="374"/>
      <c r="B41" s="341" t="s">
        <v>342</v>
      </c>
      <c r="C41" s="373"/>
      <c r="D41" s="372" t="s">
        <v>311</v>
      </c>
      <c r="E41" s="371">
        <f>SUM(F41:J41)</f>
        <v>372.6</v>
      </c>
      <c r="F41" s="371">
        <f>F39</f>
        <v>182.6</v>
      </c>
      <c r="G41" s="371">
        <f>G39</f>
        <v>190</v>
      </c>
      <c r="H41" s="371">
        <f>H39</f>
        <v>0</v>
      </c>
      <c r="I41" s="371">
        <f>I39</f>
        <v>0</v>
      </c>
      <c r="J41" s="370">
        <f>J39</f>
        <v>0</v>
      </c>
      <c r="K41" s="369"/>
      <c r="L41" s="368"/>
      <c r="M41" s="368"/>
      <c r="N41" s="368"/>
      <c r="O41" s="368"/>
      <c r="P41" s="368"/>
      <c r="Q41" s="367"/>
    </row>
    <row r="42" spans="1:17" ht="13.5" customHeight="1">
      <c r="A42" s="388"/>
      <c r="B42" s="1094" t="s">
        <v>341</v>
      </c>
      <c r="C42" s="1095"/>
      <c r="D42" s="1095"/>
      <c r="E42" s="1095"/>
      <c r="F42" s="1095"/>
      <c r="G42" s="1095"/>
      <c r="H42" s="1095"/>
      <c r="I42" s="1095"/>
      <c r="J42" s="1095"/>
      <c r="K42" s="1095"/>
      <c r="L42" s="1095"/>
      <c r="M42" s="1095"/>
      <c r="N42" s="1095"/>
      <c r="O42" s="1095"/>
      <c r="P42" s="1095"/>
      <c r="Q42" s="1096"/>
    </row>
    <row r="43" spans="1:17" ht="37.5" customHeight="1">
      <c r="A43" s="1060" t="s">
        <v>340</v>
      </c>
      <c r="B43" s="850" t="s">
        <v>339</v>
      </c>
      <c r="C43" s="1060" t="s">
        <v>42</v>
      </c>
      <c r="D43" s="379" t="s">
        <v>311</v>
      </c>
      <c r="E43" s="378">
        <f>SUM(F43:J43)</f>
        <v>382.6</v>
      </c>
      <c r="F43" s="378">
        <v>182.6</v>
      </c>
      <c r="G43" s="378">
        <f>190+10</f>
        <v>200</v>
      </c>
      <c r="H43" s="378">
        <v>0</v>
      </c>
      <c r="I43" s="378">
        <v>0</v>
      </c>
      <c r="J43" s="378">
        <v>0</v>
      </c>
      <c r="K43" s="341" t="s">
        <v>338</v>
      </c>
      <c r="L43" s="375">
        <v>90</v>
      </c>
      <c r="M43" s="375">
        <v>90</v>
      </c>
      <c r="N43" s="375">
        <v>0</v>
      </c>
      <c r="O43" s="375">
        <v>0</v>
      </c>
      <c r="P43" s="375">
        <v>0</v>
      </c>
      <c r="Q43" s="1099" t="s">
        <v>337</v>
      </c>
    </row>
    <row r="44" spans="1:17" ht="24.75" customHeight="1" thickBot="1">
      <c r="A44" s="1097"/>
      <c r="B44" s="1098"/>
      <c r="C44" s="1097"/>
      <c r="D44" s="349" t="s">
        <v>5</v>
      </c>
      <c r="E44" s="376">
        <f>SUM(F44:J44)</f>
        <v>382.6</v>
      </c>
      <c r="F44" s="376">
        <v>182.6</v>
      </c>
      <c r="G44" s="376">
        <f>190+10</f>
        <v>200</v>
      </c>
      <c r="H44" s="376">
        <v>0</v>
      </c>
      <c r="I44" s="376">
        <v>0</v>
      </c>
      <c r="J44" s="376">
        <v>0</v>
      </c>
      <c r="K44" s="341" t="s">
        <v>336</v>
      </c>
      <c r="L44" s="375">
        <v>4</v>
      </c>
      <c r="M44" s="375">
        <v>5</v>
      </c>
      <c r="N44" s="375">
        <v>0</v>
      </c>
      <c r="O44" s="375">
        <v>0</v>
      </c>
      <c r="P44" s="375">
        <v>0</v>
      </c>
      <c r="Q44" s="1100"/>
    </row>
    <row r="45" spans="1:17" ht="21" customHeight="1" thickBot="1">
      <c r="A45" s="374"/>
      <c r="B45" s="341" t="s">
        <v>335</v>
      </c>
      <c r="C45" s="373"/>
      <c r="D45" s="372" t="s">
        <v>311</v>
      </c>
      <c r="E45" s="371">
        <f>SUM(F45:J45)</f>
        <v>382.6</v>
      </c>
      <c r="F45" s="371">
        <f>F43</f>
        <v>182.6</v>
      </c>
      <c r="G45" s="371">
        <f>G43</f>
        <v>200</v>
      </c>
      <c r="H45" s="371">
        <f>H43</f>
        <v>0</v>
      </c>
      <c r="I45" s="371">
        <f>I43</f>
        <v>0</v>
      </c>
      <c r="J45" s="370">
        <f>J43</f>
        <v>0</v>
      </c>
      <c r="K45" s="369"/>
      <c r="L45" s="368"/>
      <c r="M45" s="368"/>
      <c r="N45" s="368"/>
      <c r="O45" s="368"/>
      <c r="P45" s="368"/>
      <c r="Q45" s="367"/>
    </row>
    <row r="46" spans="1:17" ht="12" customHeight="1">
      <c r="A46" s="388"/>
      <c r="B46" s="1094" t="s">
        <v>334</v>
      </c>
      <c r="C46" s="1095"/>
      <c r="D46" s="1095"/>
      <c r="E46" s="1095"/>
      <c r="F46" s="1095"/>
      <c r="G46" s="1095"/>
      <c r="H46" s="1095"/>
      <c r="I46" s="1095"/>
      <c r="J46" s="1095"/>
      <c r="K46" s="1095"/>
      <c r="L46" s="1095"/>
      <c r="M46" s="1095"/>
      <c r="N46" s="1095"/>
      <c r="O46" s="1095"/>
      <c r="P46" s="1095"/>
      <c r="Q46" s="1096"/>
    </row>
    <row r="47" spans="1:17" ht="35.25" customHeight="1">
      <c r="A47" s="1060" t="s">
        <v>333</v>
      </c>
      <c r="B47" s="850" t="s">
        <v>332</v>
      </c>
      <c r="C47" s="1060" t="s">
        <v>42</v>
      </c>
      <c r="D47" s="379" t="s">
        <v>311</v>
      </c>
      <c r="E47" s="378">
        <f>SUM(F47:J47)</f>
        <v>1056.1</v>
      </c>
      <c r="F47" s="378">
        <v>396.1</v>
      </c>
      <c r="G47" s="378">
        <f>650+10</f>
        <v>660</v>
      </c>
      <c r="H47" s="378">
        <v>0</v>
      </c>
      <c r="I47" s="378">
        <v>0</v>
      </c>
      <c r="J47" s="378">
        <v>0</v>
      </c>
      <c r="K47" s="341" t="s">
        <v>331</v>
      </c>
      <c r="L47" s="375">
        <v>12</v>
      </c>
      <c r="M47" s="375">
        <v>13</v>
      </c>
      <c r="N47" s="375">
        <v>0</v>
      </c>
      <c r="O47" s="375">
        <v>0</v>
      </c>
      <c r="P47" s="375">
        <v>0</v>
      </c>
      <c r="Q47" s="1099" t="s">
        <v>330</v>
      </c>
    </row>
    <row r="48" spans="1:17" ht="24.75" customHeight="1" thickBot="1">
      <c r="A48" s="1097"/>
      <c r="B48" s="1098"/>
      <c r="C48" s="1097"/>
      <c r="D48" s="349" t="s">
        <v>5</v>
      </c>
      <c r="E48" s="376">
        <f>SUM(F48:J48)</f>
        <v>1056.1</v>
      </c>
      <c r="F48" s="376">
        <v>396.1</v>
      </c>
      <c r="G48" s="376">
        <f>650+10</f>
        <v>660</v>
      </c>
      <c r="H48" s="376">
        <v>0</v>
      </c>
      <c r="I48" s="376">
        <v>0</v>
      </c>
      <c r="J48" s="376">
        <v>0</v>
      </c>
      <c r="K48" s="341" t="s">
        <v>329</v>
      </c>
      <c r="L48" s="375">
        <v>8</v>
      </c>
      <c r="M48" s="375">
        <v>8</v>
      </c>
      <c r="N48" s="375">
        <v>0</v>
      </c>
      <c r="O48" s="375">
        <v>0</v>
      </c>
      <c r="P48" s="375">
        <v>0</v>
      </c>
      <c r="Q48" s="1100"/>
    </row>
    <row r="49" spans="1:17" ht="21.75" customHeight="1" thickBot="1">
      <c r="A49" s="374"/>
      <c r="B49" s="341" t="s">
        <v>328</v>
      </c>
      <c r="C49" s="373"/>
      <c r="D49" s="372" t="s">
        <v>311</v>
      </c>
      <c r="E49" s="371">
        <f>SUM(F49:J49)</f>
        <v>1056.1</v>
      </c>
      <c r="F49" s="371">
        <f>F47</f>
        <v>396.1</v>
      </c>
      <c r="G49" s="371">
        <f>G47</f>
        <v>660</v>
      </c>
      <c r="H49" s="371">
        <f>H47</f>
        <v>0</v>
      </c>
      <c r="I49" s="371">
        <f>I47</f>
        <v>0</v>
      </c>
      <c r="J49" s="370">
        <f>J47</f>
        <v>0</v>
      </c>
      <c r="K49" s="389"/>
      <c r="L49" s="368"/>
      <c r="M49" s="368"/>
      <c r="N49" s="368"/>
      <c r="O49" s="368"/>
      <c r="P49" s="368"/>
      <c r="Q49" s="367"/>
    </row>
    <row r="50" spans="1:17" ht="14.25" customHeight="1">
      <c r="A50" s="388"/>
      <c r="B50" s="1094" t="s">
        <v>327</v>
      </c>
      <c r="C50" s="1095"/>
      <c r="D50" s="1095"/>
      <c r="E50" s="1095"/>
      <c r="F50" s="1095"/>
      <c r="G50" s="1095"/>
      <c r="H50" s="1095"/>
      <c r="I50" s="1095"/>
      <c r="J50" s="1095"/>
      <c r="K50" s="1095"/>
      <c r="L50" s="1095"/>
      <c r="M50" s="1095"/>
      <c r="N50" s="1095"/>
      <c r="O50" s="1095"/>
      <c r="P50" s="1095"/>
      <c r="Q50" s="1096"/>
    </row>
    <row r="51" spans="1:17" ht="29.25" customHeight="1">
      <c r="A51" s="1060" t="s">
        <v>326</v>
      </c>
      <c r="B51" s="850" t="s">
        <v>325</v>
      </c>
      <c r="C51" s="1060" t="s">
        <v>42</v>
      </c>
      <c r="D51" s="1082" t="s">
        <v>319</v>
      </c>
      <c r="E51" s="1101">
        <f>SUM(F51:J52)</f>
        <v>1734</v>
      </c>
      <c r="F51" s="1101">
        <v>853</v>
      </c>
      <c r="G51" s="1101">
        <v>881</v>
      </c>
      <c r="H51" s="1101">
        <v>0</v>
      </c>
      <c r="I51" s="1101">
        <v>0</v>
      </c>
      <c r="J51" s="1101">
        <v>0</v>
      </c>
      <c r="K51" s="1035" t="s">
        <v>324</v>
      </c>
      <c r="L51" s="1060">
        <v>100</v>
      </c>
      <c r="M51" s="1060">
        <v>100</v>
      </c>
      <c r="N51" s="1060">
        <v>0</v>
      </c>
      <c r="O51" s="1060">
        <v>0</v>
      </c>
      <c r="P51" s="1060">
        <v>0</v>
      </c>
      <c r="Q51" s="931" t="s">
        <v>323</v>
      </c>
    </row>
    <row r="52" spans="1:17" ht="18" customHeight="1">
      <c r="A52" s="1097"/>
      <c r="B52" s="1098"/>
      <c r="C52" s="1097"/>
      <c r="D52" s="1104"/>
      <c r="E52" s="1102"/>
      <c r="F52" s="1102"/>
      <c r="G52" s="1102"/>
      <c r="H52" s="1102"/>
      <c r="I52" s="1102"/>
      <c r="J52" s="1102"/>
      <c r="K52" s="1036"/>
      <c r="L52" s="1065"/>
      <c r="M52" s="1065"/>
      <c r="N52" s="1065"/>
      <c r="O52" s="1065"/>
      <c r="P52" s="1065"/>
      <c r="Q52" s="970"/>
    </row>
    <row r="53" spans="1:17" ht="124.5" customHeight="1" thickBot="1">
      <c r="A53" s="387" t="s">
        <v>322</v>
      </c>
      <c r="B53" s="386" t="s">
        <v>321</v>
      </c>
      <c r="C53" s="385"/>
      <c r="D53" s="379" t="s">
        <v>319</v>
      </c>
      <c r="E53" s="384">
        <f>SUM(F53:J53)</f>
        <v>21.7</v>
      </c>
      <c r="F53" s="384">
        <v>13.1</v>
      </c>
      <c r="G53" s="384">
        <v>8.6</v>
      </c>
      <c r="H53" s="384">
        <v>0</v>
      </c>
      <c r="I53" s="384">
        <v>0</v>
      </c>
      <c r="J53" s="384">
        <v>0</v>
      </c>
      <c r="K53" s="1103"/>
      <c r="L53" s="1093"/>
      <c r="M53" s="1093"/>
      <c r="N53" s="1093"/>
      <c r="O53" s="1093"/>
      <c r="P53" s="1093"/>
      <c r="Q53" s="929"/>
    </row>
    <row r="54" spans="1:17" ht="22.5" customHeight="1" thickBot="1">
      <c r="A54" s="383"/>
      <c r="B54" s="341" t="s">
        <v>320</v>
      </c>
      <c r="C54" s="373"/>
      <c r="D54" s="372" t="s">
        <v>319</v>
      </c>
      <c r="E54" s="371">
        <f>SUM(F54:J54)</f>
        <v>1755.7</v>
      </c>
      <c r="F54" s="371">
        <f>SUM(F51:F53)</f>
        <v>866.1</v>
      </c>
      <c r="G54" s="371">
        <f>SUM(G51:G53)</f>
        <v>889.6</v>
      </c>
      <c r="H54" s="371">
        <f>SUM(H51:H53)</f>
        <v>0</v>
      </c>
      <c r="I54" s="371">
        <f>SUM(I51:I53)</f>
        <v>0</v>
      </c>
      <c r="J54" s="370">
        <f>SUM(J51:J53)</f>
        <v>0</v>
      </c>
      <c r="K54" s="382"/>
      <c r="L54" s="368"/>
      <c r="M54" s="368"/>
      <c r="N54" s="368"/>
      <c r="O54" s="381"/>
      <c r="P54" s="381"/>
      <c r="Q54" s="380"/>
    </row>
    <row r="55" spans="1:17" ht="21.75" customHeight="1">
      <c r="A55" s="374"/>
      <c r="B55" s="1094" t="s">
        <v>318</v>
      </c>
      <c r="C55" s="1095"/>
      <c r="D55" s="1095"/>
      <c r="E55" s="1095"/>
      <c r="F55" s="1095"/>
      <c r="G55" s="1095"/>
      <c r="H55" s="1095"/>
      <c r="I55" s="1095"/>
      <c r="J55" s="1095"/>
      <c r="K55" s="1095"/>
      <c r="L55" s="1095"/>
      <c r="M55" s="1095"/>
      <c r="N55" s="1095"/>
      <c r="O55" s="1095"/>
      <c r="P55" s="1095"/>
      <c r="Q55" s="1096"/>
    </row>
    <row r="56" spans="1:17" ht="57.75" customHeight="1">
      <c r="A56" s="1060" t="s">
        <v>317</v>
      </c>
      <c r="B56" s="850" t="s">
        <v>316</v>
      </c>
      <c r="C56" s="1060" t="s">
        <v>42</v>
      </c>
      <c r="D56" s="379" t="s">
        <v>311</v>
      </c>
      <c r="E56" s="378">
        <f>SUM(F56:J56)</f>
        <v>5235.03</v>
      </c>
      <c r="F56" s="378">
        <v>4447.23</v>
      </c>
      <c r="G56" s="378">
        <f>777.8+10</f>
        <v>787.8</v>
      </c>
      <c r="H56" s="378">
        <v>0</v>
      </c>
      <c r="I56" s="378">
        <v>0</v>
      </c>
      <c r="J56" s="378">
        <v>0</v>
      </c>
      <c r="K56" s="341" t="s">
        <v>315</v>
      </c>
      <c r="L56" s="377"/>
      <c r="M56" s="377"/>
      <c r="N56" s="377"/>
      <c r="O56" s="377"/>
      <c r="P56" s="377"/>
      <c r="Q56" s="1099" t="s">
        <v>314</v>
      </c>
    </row>
    <row r="57" spans="1:17" ht="39" customHeight="1" thickBot="1">
      <c r="A57" s="1097"/>
      <c r="B57" s="1098"/>
      <c r="C57" s="1097"/>
      <c r="D57" s="349" t="s">
        <v>5</v>
      </c>
      <c r="E57" s="376">
        <f>SUM(F57:J57)</f>
        <v>5235</v>
      </c>
      <c r="F57" s="376">
        <v>4447.2</v>
      </c>
      <c r="G57" s="376">
        <f>777.8+10</f>
        <v>787.8</v>
      </c>
      <c r="H57" s="376">
        <v>0</v>
      </c>
      <c r="I57" s="376">
        <v>0</v>
      </c>
      <c r="J57" s="376">
        <v>0</v>
      </c>
      <c r="K57" s="341" t="s">
        <v>313</v>
      </c>
      <c r="L57" s="375">
        <v>4</v>
      </c>
      <c r="M57" s="375">
        <v>4</v>
      </c>
      <c r="N57" s="375">
        <v>0</v>
      </c>
      <c r="O57" s="375">
        <v>0</v>
      </c>
      <c r="P57" s="375">
        <v>0</v>
      </c>
      <c r="Q57" s="1100"/>
    </row>
    <row r="58" spans="1:17" ht="21.75" customHeight="1" thickBot="1">
      <c r="A58" s="374"/>
      <c r="B58" s="341" t="s">
        <v>312</v>
      </c>
      <c r="C58" s="373"/>
      <c r="D58" s="372" t="s">
        <v>311</v>
      </c>
      <c r="E58" s="500">
        <f>SUM(F58:J58)</f>
        <v>5235.03</v>
      </c>
      <c r="F58" s="500">
        <f>F56</f>
        <v>4447.23</v>
      </c>
      <c r="G58" s="500">
        <f>G56</f>
        <v>787.8</v>
      </c>
      <c r="H58" s="500">
        <f>H56</f>
        <v>0</v>
      </c>
      <c r="I58" s="500">
        <f>I56</f>
        <v>0</v>
      </c>
      <c r="J58" s="501">
        <f>J56</f>
        <v>0</v>
      </c>
      <c r="K58" s="369"/>
      <c r="L58" s="368"/>
      <c r="M58" s="368"/>
      <c r="N58" s="368"/>
      <c r="O58" s="368"/>
      <c r="P58" s="368"/>
      <c r="Q58" s="367"/>
    </row>
    <row r="59" spans="1:17" ht="13.5" customHeight="1">
      <c r="A59" s="616"/>
      <c r="B59" s="640" t="s">
        <v>13</v>
      </c>
      <c r="C59" s="1090"/>
      <c r="D59" s="366" t="s">
        <v>11</v>
      </c>
      <c r="E59" s="1091">
        <f>SUM(F59:J60)</f>
        <v>15298.93</v>
      </c>
      <c r="F59" s="1050">
        <f>SUM(F61:F62)</f>
        <v>8816.53</v>
      </c>
      <c r="G59" s="1091">
        <f>SUM(G61:G62)</f>
        <v>6482.400000000001</v>
      </c>
      <c r="H59" s="1050">
        <f>SUM(H61:H62)</f>
        <v>0</v>
      </c>
      <c r="I59" s="1050">
        <f>SUM(I61:I62)</f>
        <v>0</v>
      </c>
      <c r="J59" s="1052">
        <f>SUM(J61:J62)</f>
        <v>0</v>
      </c>
      <c r="K59" s="938"/>
      <c r="L59" s="616"/>
      <c r="M59" s="616"/>
      <c r="N59" s="616"/>
      <c r="O59" s="616"/>
      <c r="P59" s="616"/>
      <c r="Q59" s="616"/>
    </row>
    <row r="60" spans="1:17" ht="10.5" customHeight="1">
      <c r="A60" s="616"/>
      <c r="B60" s="640"/>
      <c r="C60" s="1090"/>
      <c r="D60" s="365" t="s">
        <v>12</v>
      </c>
      <c r="E60" s="1092"/>
      <c r="F60" s="1051"/>
      <c r="G60" s="1092"/>
      <c r="H60" s="1051"/>
      <c r="I60" s="1051"/>
      <c r="J60" s="1053"/>
      <c r="K60" s="1038"/>
      <c r="L60" s="616"/>
      <c r="M60" s="616"/>
      <c r="N60" s="616"/>
      <c r="O60" s="616"/>
      <c r="P60" s="616"/>
      <c r="Q60" s="616"/>
    </row>
    <row r="61" spans="1:17" ht="13.5" customHeight="1">
      <c r="A61" s="616"/>
      <c r="B61" s="640"/>
      <c r="C61" s="1090"/>
      <c r="D61" s="365" t="s">
        <v>5</v>
      </c>
      <c r="E61" s="502">
        <f>SUM(F61:J61)</f>
        <v>13543.230000000001</v>
      </c>
      <c r="F61" s="476">
        <f>SUM(F58,F49,F45,F41,F37,F32,F27,F22,F17,F12)</f>
        <v>7950.430000000001</v>
      </c>
      <c r="G61" s="502">
        <f>SUM(G58,G49,G45,G41,G37,G32,G27,G22,G17,G12)</f>
        <v>5592.8</v>
      </c>
      <c r="H61" s="476">
        <f>SUM(H58,H49,H45,H41,H37,H32,H27,H22,H17,H12)</f>
        <v>0</v>
      </c>
      <c r="I61" s="476">
        <f>SUM(I58,I49,I45,I41,I37,I32,I27,I22,I17,I12)</f>
        <v>0</v>
      </c>
      <c r="J61" s="477">
        <f>SUM(J58,J49,J45,J41,J37,J32,J27,J22,J17,J12)</f>
        <v>0</v>
      </c>
      <c r="K61" s="1038"/>
      <c r="L61" s="616"/>
      <c r="M61" s="616"/>
      <c r="N61" s="616"/>
      <c r="O61" s="616"/>
      <c r="P61" s="616"/>
      <c r="Q61" s="616"/>
    </row>
    <row r="62" spans="1:17" ht="14.25" customHeight="1" thickBot="1">
      <c r="A62" s="616"/>
      <c r="B62" s="640"/>
      <c r="C62" s="1090"/>
      <c r="D62" s="364" t="s">
        <v>6</v>
      </c>
      <c r="E62" s="478">
        <f>SUM(F62:J62)</f>
        <v>1755.7</v>
      </c>
      <c r="F62" s="478">
        <f>F54</f>
        <v>866.1</v>
      </c>
      <c r="G62" s="478">
        <f>G54</f>
        <v>889.6</v>
      </c>
      <c r="H62" s="478">
        <f>H54</f>
        <v>0</v>
      </c>
      <c r="I62" s="478">
        <f>I54</f>
        <v>0</v>
      </c>
      <c r="J62" s="479">
        <f>J54</f>
        <v>0</v>
      </c>
      <c r="K62" s="936"/>
      <c r="L62" s="616"/>
      <c r="M62" s="616"/>
      <c r="N62" s="616"/>
      <c r="O62" s="616"/>
      <c r="P62" s="616"/>
      <c r="Q62" s="616"/>
    </row>
    <row r="65" spans="8:10" s="233" customFormat="1" ht="18.75" customHeight="1">
      <c r="H65" s="363"/>
      <c r="I65" s="363"/>
      <c r="J65" s="363"/>
    </row>
    <row r="67" spans="8:10" s="233" customFormat="1" ht="18.75" customHeight="1">
      <c r="H67" s="363"/>
      <c r="I67" s="363"/>
      <c r="J67" s="363"/>
    </row>
  </sheetData>
  <sheetProtection/>
  <mergeCells count="114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E20:E21"/>
    <mergeCell ref="F20:F21"/>
    <mergeCell ref="G20:G21"/>
    <mergeCell ref="H20:H21"/>
    <mergeCell ref="I20:I21"/>
    <mergeCell ref="J20:J21"/>
    <mergeCell ref="B23:Q23"/>
    <mergeCell ref="A24:A26"/>
    <mergeCell ref="B24:B26"/>
    <mergeCell ref="C24:C26"/>
    <mergeCell ref="Q24:Q26"/>
    <mergeCell ref="B28:Q28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38:Q38"/>
    <mergeCell ref="A39:A40"/>
    <mergeCell ref="B39:B40"/>
    <mergeCell ref="C39:C40"/>
    <mergeCell ref="Q39:Q40"/>
    <mergeCell ref="B42:Q42"/>
    <mergeCell ref="Q43:Q44"/>
    <mergeCell ref="B46:Q46"/>
    <mergeCell ref="A47:A48"/>
    <mergeCell ref="B47:B48"/>
    <mergeCell ref="C47:C48"/>
    <mergeCell ref="Q47:Q48"/>
    <mergeCell ref="G51:G52"/>
    <mergeCell ref="H51:H52"/>
    <mergeCell ref="I51:I52"/>
    <mergeCell ref="A43:A44"/>
    <mergeCell ref="B43:B44"/>
    <mergeCell ref="C43:C44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A59:A62"/>
    <mergeCell ref="B59:B62"/>
    <mergeCell ref="C59:C62"/>
    <mergeCell ref="E59:E60"/>
    <mergeCell ref="F59:F60"/>
    <mergeCell ref="G59:G60"/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7109375" defaultRowHeight="18.75" customHeight="1"/>
  <cols>
    <col min="1" max="1" width="6.57421875" style="1" customWidth="1"/>
    <col min="2" max="2" width="28.28125" style="1" customWidth="1"/>
    <col min="3" max="3" width="6.28125" style="51" customWidth="1"/>
    <col min="4" max="4" width="6.8515625" style="42" customWidth="1"/>
    <col min="5" max="5" width="8.00390625" style="42" customWidth="1"/>
    <col min="6" max="7" width="8.28125" style="42" customWidth="1"/>
    <col min="8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71093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683" t="s">
        <v>295</v>
      </c>
      <c r="M1" s="683"/>
      <c r="N1" s="683"/>
      <c r="O1" s="683"/>
      <c r="P1" s="683"/>
      <c r="Q1" s="683"/>
    </row>
    <row r="2" spans="1:17" ht="28.5" customHeight="1">
      <c r="A2" s="685" t="s">
        <v>157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667" t="s">
        <v>16</v>
      </c>
      <c r="B4" s="671" t="s">
        <v>15</v>
      </c>
      <c r="C4" s="667" t="s">
        <v>8</v>
      </c>
      <c r="D4" s="667" t="s">
        <v>9</v>
      </c>
      <c r="E4" s="668" t="s">
        <v>0</v>
      </c>
      <c r="F4" s="669"/>
      <c r="G4" s="669"/>
      <c r="H4" s="669"/>
      <c r="I4" s="669"/>
      <c r="J4" s="670"/>
      <c r="K4" s="668" t="s">
        <v>17</v>
      </c>
      <c r="L4" s="669"/>
      <c r="M4" s="669"/>
      <c r="N4" s="669"/>
      <c r="O4" s="669"/>
      <c r="P4" s="670"/>
      <c r="Q4" s="671" t="s">
        <v>14</v>
      </c>
    </row>
    <row r="5" spans="1:17" s="15" customFormat="1" ht="14.25" customHeight="1">
      <c r="A5" s="667"/>
      <c r="B5" s="672"/>
      <c r="C5" s="667"/>
      <c r="D5" s="667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672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680" t="s">
        <v>44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</row>
    <row r="8" spans="1:17" ht="13.5" customHeight="1">
      <c r="A8" s="20">
        <v>1</v>
      </c>
      <c r="B8" s="681" t="s">
        <v>79</v>
      </c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</row>
    <row r="9" spans="1:17" ht="22.5" customHeight="1">
      <c r="A9" s="612" t="s">
        <v>19</v>
      </c>
      <c r="B9" s="630" t="s">
        <v>45</v>
      </c>
      <c r="C9" s="677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627" t="s">
        <v>248</v>
      </c>
      <c r="L9" s="621" t="s">
        <v>236</v>
      </c>
      <c r="M9" s="621" t="s">
        <v>236</v>
      </c>
      <c r="N9" s="621" t="s">
        <v>213</v>
      </c>
      <c r="O9" s="621" t="s">
        <v>213</v>
      </c>
      <c r="P9" s="621" t="s">
        <v>213</v>
      </c>
      <c r="Q9" s="621" t="s">
        <v>63</v>
      </c>
    </row>
    <row r="10" spans="1:17" ht="6.75" customHeight="1">
      <c r="A10" s="682"/>
      <c r="B10" s="686"/>
      <c r="C10" s="686"/>
      <c r="D10" s="689" t="s">
        <v>5</v>
      </c>
      <c r="E10" s="690">
        <f>SUM(F10:J13)</f>
        <v>11120.5</v>
      </c>
      <c r="F10" s="690">
        <f>16163-6362-120-300-620</f>
        <v>8761</v>
      </c>
      <c r="G10" s="690">
        <v>2359.5</v>
      </c>
      <c r="H10" s="690">
        <v>0</v>
      </c>
      <c r="I10" s="690">
        <v>0</v>
      </c>
      <c r="J10" s="690">
        <v>0</v>
      </c>
      <c r="K10" s="687"/>
      <c r="L10" s="687"/>
      <c r="M10" s="687"/>
      <c r="N10" s="687"/>
      <c r="O10" s="687"/>
      <c r="P10" s="687"/>
      <c r="Q10" s="688"/>
    </row>
    <row r="11" spans="1:17" ht="6.75" customHeight="1">
      <c r="A11" s="682"/>
      <c r="B11" s="686"/>
      <c r="C11" s="686"/>
      <c r="D11" s="689"/>
      <c r="E11" s="690"/>
      <c r="F11" s="690"/>
      <c r="G11" s="690"/>
      <c r="H11" s="690"/>
      <c r="I11" s="690"/>
      <c r="J11" s="690"/>
      <c r="K11" s="687"/>
      <c r="L11" s="687"/>
      <c r="M11" s="687"/>
      <c r="N11" s="687"/>
      <c r="O11" s="687"/>
      <c r="P11" s="687"/>
      <c r="Q11" s="688"/>
    </row>
    <row r="12" spans="1:17" ht="10.5" customHeight="1">
      <c r="A12" s="682"/>
      <c r="B12" s="686"/>
      <c r="C12" s="686"/>
      <c r="D12" s="689"/>
      <c r="E12" s="690"/>
      <c r="F12" s="690"/>
      <c r="G12" s="690"/>
      <c r="H12" s="690"/>
      <c r="I12" s="690"/>
      <c r="J12" s="690"/>
      <c r="K12" s="687"/>
      <c r="L12" s="687"/>
      <c r="M12" s="687"/>
      <c r="N12" s="687"/>
      <c r="O12" s="687"/>
      <c r="P12" s="687"/>
      <c r="Q12" s="688"/>
    </row>
    <row r="13" spans="1:17" ht="8.25" customHeight="1">
      <c r="A13" s="738"/>
      <c r="B13" s="754"/>
      <c r="C13" s="754"/>
      <c r="D13" s="689"/>
      <c r="E13" s="690"/>
      <c r="F13" s="690"/>
      <c r="G13" s="690"/>
      <c r="H13" s="690"/>
      <c r="I13" s="690"/>
      <c r="J13" s="690"/>
      <c r="K13" s="687"/>
      <c r="L13" s="687"/>
      <c r="M13" s="687"/>
      <c r="N13" s="687"/>
      <c r="O13" s="687"/>
      <c r="P13" s="687"/>
      <c r="Q13" s="688"/>
    </row>
    <row r="14" spans="1:17" ht="15" customHeight="1">
      <c r="A14" s="877"/>
      <c r="B14" s="1121" t="s">
        <v>23</v>
      </c>
      <c r="C14" s="1119"/>
      <c r="D14" s="1123" t="s">
        <v>249</v>
      </c>
      <c r="E14" s="1125">
        <f>SUM(F14:J15)</f>
        <v>11120.5</v>
      </c>
      <c r="F14" s="1126">
        <f>SUM(F16:F17)</f>
        <v>8761</v>
      </c>
      <c r="G14" s="1126">
        <f>SUM(G16:G17)</f>
        <v>2359.5</v>
      </c>
      <c r="H14" s="1126">
        <f>SUM(H16:H17)</f>
        <v>0</v>
      </c>
      <c r="I14" s="1126">
        <f>SUM(I16:I17)</f>
        <v>0</v>
      </c>
      <c r="J14" s="1126">
        <f>SUM(J16:J17)</f>
        <v>0</v>
      </c>
      <c r="K14" s="1119"/>
      <c r="L14" s="1119"/>
      <c r="M14" s="1119"/>
      <c r="N14" s="1119"/>
      <c r="O14" s="1119"/>
      <c r="P14" s="1119"/>
      <c r="Q14" s="1119"/>
    </row>
    <row r="15" spans="1:17" ht="10.5" customHeight="1">
      <c r="A15" s="877"/>
      <c r="B15" s="1122"/>
      <c r="C15" s="1119"/>
      <c r="D15" s="1124"/>
      <c r="E15" s="1126"/>
      <c r="F15" s="703"/>
      <c r="G15" s="703"/>
      <c r="H15" s="703"/>
      <c r="I15" s="703"/>
      <c r="J15" s="703"/>
      <c r="K15" s="1119"/>
      <c r="L15" s="1119"/>
      <c r="M15" s="1119"/>
      <c r="N15" s="1119"/>
      <c r="O15" s="1119"/>
      <c r="P15" s="1119"/>
      <c r="Q15" s="1119"/>
    </row>
    <row r="16" spans="1:17" ht="13.5" customHeight="1">
      <c r="A16" s="877"/>
      <c r="B16" s="1122"/>
      <c r="C16" s="1119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119"/>
      <c r="L16" s="1119"/>
      <c r="M16" s="1119"/>
      <c r="N16" s="1119"/>
      <c r="O16" s="1119"/>
      <c r="P16" s="1119"/>
      <c r="Q16" s="1119"/>
    </row>
    <row r="17" spans="1:17" ht="13.5" customHeight="1">
      <c r="A17" s="738"/>
      <c r="B17" s="754"/>
      <c r="C17" s="1120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120"/>
      <c r="L17" s="1120"/>
      <c r="M17" s="1120"/>
      <c r="N17" s="1120"/>
      <c r="O17" s="1120"/>
      <c r="P17" s="1120"/>
      <c r="Q17" s="1120"/>
    </row>
    <row r="18" spans="1:17" ht="16.5" customHeight="1">
      <c r="A18" s="16" t="s">
        <v>24</v>
      </c>
      <c r="B18" s="648" t="s">
        <v>80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50"/>
    </row>
    <row r="19" spans="1:17" ht="24" customHeight="1">
      <c r="A19" s="612" t="s">
        <v>26</v>
      </c>
      <c r="B19" s="630" t="s">
        <v>46</v>
      </c>
      <c r="C19" s="677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630" t="s">
        <v>250</v>
      </c>
      <c r="L19" s="621" t="s">
        <v>240</v>
      </c>
      <c r="M19" s="621" t="s">
        <v>240</v>
      </c>
      <c r="N19" s="621" t="s">
        <v>240</v>
      </c>
      <c r="O19" s="621" t="s">
        <v>240</v>
      </c>
      <c r="P19" s="621" t="s">
        <v>240</v>
      </c>
      <c r="Q19" s="612" t="s">
        <v>136</v>
      </c>
    </row>
    <row r="20" spans="1:17" ht="16.5" customHeight="1">
      <c r="A20" s="673"/>
      <c r="B20" s="675"/>
      <c r="C20" s="632"/>
      <c r="D20" s="710" t="s">
        <v>5</v>
      </c>
      <c r="E20" s="708">
        <f>SUM(F20:J21)</f>
        <v>1040</v>
      </c>
      <c r="F20" s="708">
        <v>240</v>
      </c>
      <c r="G20" s="708">
        <v>200</v>
      </c>
      <c r="H20" s="708">
        <v>200</v>
      </c>
      <c r="I20" s="708">
        <v>200</v>
      </c>
      <c r="J20" s="708">
        <v>200</v>
      </c>
      <c r="K20" s="675"/>
      <c r="L20" s="706"/>
      <c r="M20" s="706"/>
      <c r="N20" s="706"/>
      <c r="O20" s="706"/>
      <c r="P20" s="706"/>
      <c r="Q20" s="632"/>
    </row>
    <row r="21" spans="1:17" ht="6" customHeight="1">
      <c r="A21" s="673"/>
      <c r="B21" s="675"/>
      <c r="C21" s="632"/>
      <c r="D21" s="714"/>
      <c r="E21" s="709"/>
      <c r="F21" s="709"/>
      <c r="G21" s="709"/>
      <c r="H21" s="709"/>
      <c r="I21" s="709"/>
      <c r="J21" s="709"/>
      <c r="K21" s="675"/>
      <c r="L21" s="706"/>
      <c r="M21" s="706"/>
      <c r="N21" s="706"/>
      <c r="O21" s="706"/>
      <c r="P21" s="706"/>
      <c r="Q21" s="632"/>
    </row>
    <row r="22" spans="1:17" ht="16.5" customHeight="1">
      <c r="A22" s="673"/>
      <c r="B22" s="675"/>
      <c r="C22" s="632"/>
      <c r="D22" s="689" t="s">
        <v>6</v>
      </c>
      <c r="E22" s="708">
        <f>SUM(F22:J23)</f>
        <v>0</v>
      </c>
      <c r="F22" s="712">
        <v>0</v>
      </c>
      <c r="G22" s="712">
        <v>0</v>
      </c>
      <c r="H22" s="712">
        <v>0</v>
      </c>
      <c r="I22" s="712">
        <v>0</v>
      </c>
      <c r="J22" s="712">
        <v>0</v>
      </c>
      <c r="K22" s="675"/>
      <c r="L22" s="706"/>
      <c r="M22" s="706"/>
      <c r="N22" s="706"/>
      <c r="O22" s="706"/>
      <c r="P22" s="706"/>
      <c r="Q22" s="632"/>
    </row>
    <row r="23" spans="1:17" ht="8.25" customHeight="1" thickBot="1">
      <c r="A23" s="674"/>
      <c r="B23" s="676"/>
      <c r="C23" s="633"/>
      <c r="D23" s="689"/>
      <c r="E23" s="709"/>
      <c r="F23" s="712"/>
      <c r="G23" s="712"/>
      <c r="H23" s="712"/>
      <c r="I23" s="712"/>
      <c r="J23" s="712"/>
      <c r="K23" s="676"/>
      <c r="L23" s="707"/>
      <c r="M23" s="707"/>
      <c r="N23" s="707"/>
      <c r="O23" s="707"/>
      <c r="P23" s="707"/>
      <c r="Q23" s="633"/>
    </row>
    <row r="24" spans="1:17" ht="12.75" customHeight="1">
      <c r="A24" s="679"/>
      <c r="B24" s="681" t="s">
        <v>43</v>
      </c>
      <c r="C24" s="717"/>
      <c r="D24" s="1127" t="s">
        <v>249</v>
      </c>
      <c r="E24" s="1129">
        <f>SUM(F24:J25)</f>
        <v>1040</v>
      </c>
      <c r="F24" s="1129">
        <f>SUM(F20)</f>
        <v>240</v>
      </c>
      <c r="G24" s="1129">
        <f>SUM(G20)</f>
        <v>200</v>
      </c>
      <c r="H24" s="1130">
        <f>SUM(H20)</f>
        <v>200</v>
      </c>
      <c r="I24" s="1130">
        <f>SUM(I20)</f>
        <v>200</v>
      </c>
      <c r="J24" s="1130">
        <f>SUM(J20)</f>
        <v>200</v>
      </c>
      <c r="K24" s="691"/>
      <c r="L24" s="689"/>
      <c r="M24" s="689"/>
      <c r="N24" s="689"/>
      <c r="O24" s="689"/>
      <c r="P24" s="689"/>
      <c r="Q24" s="679"/>
    </row>
    <row r="25" spans="1:17" ht="9.75" customHeight="1">
      <c r="A25" s="679"/>
      <c r="B25" s="681"/>
      <c r="C25" s="717"/>
      <c r="D25" s="1128"/>
      <c r="E25" s="1126"/>
      <c r="F25" s="1126"/>
      <c r="G25" s="1126"/>
      <c r="H25" s="1131"/>
      <c r="I25" s="1131"/>
      <c r="J25" s="1131"/>
      <c r="K25" s="691"/>
      <c r="L25" s="689"/>
      <c r="M25" s="689"/>
      <c r="N25" s="689"/>
      <c r="O25" s="689"/>
      <c r="P25" s="689"/>
      <c r="Q25" s="679"/>
    </row>
    <row r="26" spans="1:17" ht="12" customHeight="1">
      <c r="A26" s="679"/>
      <c r="B26" s="681"/>
      <c r="C26" s="717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691"/>
      <c r="L26" s="689"/>
      <c r="M26" s="689"/>
      <c r="N26" s="689"/>
      <c r="O26" s="689"/>
      <c r="P26" s="689"/>
      <c r="Q26" s="679"/>
    </row>
    <row r="27" spans="1:17" ht="11.25" customHeight="1" thickBot="1">
      <c r="A27" s="679"/>
      <c r="B27" s="681"/>
      <c r="C27" s="717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691"/>
      <c r="L27" s="689"/>
      <c r="M27" s="689"/>
      <c r="N27" s="689"/>
      <c r="O27" s="689"/>
      <c r="P27" s="689"/>
      <c r="Q27" s="679"/>
    </row>
    <row r="28" spans="1:17" ht="11.25" customHeight="1">
      <c r="A28" s="8" t="s">
        <v>28</v>
      </c>
      <c r="B28" s="648" t="s">
        <v>81</v>
      </c>
      <c r="C28" s="649"/>
      <c r="D28" s="649"/>
      <c r="E28" s="649"/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  <c r="Q28" s="650"/>
    </row>
    <row r="29" spans="1:17" ht="24" customHeight="1">
      <c r="A29" s="612" t="s">
        <v>30</v>
      </c>
      <c r="B29" s="719" t="s">
        <v>47</v>
      </c>
      <c r="C29" s="679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630" t="s">
        <v>256</v>
      </c>
      <c r="L29" s="621" t="s">
        <v>236</v>
      </c>
      <c r="M29" s="621" t="s">
        <v>236</v>
      </c>
      <c r="N29" s="621" t="s">
        <v>236</v>
      </c>
      <c r="O29" s="621" t="s">
        <v>236</v>
      </c>
      <c r="P29" s="621" t="s">
        <v>236</v>
      </c>
      <c r="Q29" s="612" t="s">
        <v>136</v>
      </c>
    </row>
    <row r="30" spans="1:17" ht="16.5" customHeight="1">
      <c r="A30" s="673"/>
      <c r="B30" s="720"/>
      <c r="C30" s="721"/>
      <c r="D30" s="710" t="s">
        <v>5</v>
      </c>
      <c r="E30" s="708">
        <f>SUM(F30:J33)</f>
        <v>210</v>
      </c>
      <c r="F30" s="708">
        <v>70</v>
      </c>
      <c r="G30" s="708">
        <v>35</v>
      </c>
      <c r="H30" s="708">
        <v>35</v>
      </c>
      <c r="I30" s="708">
        <v>35</v>
      </c>
      <c r="J30" s="708">
        <v>35</v>
      </c>
      <c r="K30" s="632"/>
      <c r="L30" s="622"/>
      <c r="M30" s="622"/>
      <c r="N30" s="622"/>
      <c r="O30" s="622"/>
      <c r="P30" s="622"/>
      <c r="Q30" s="673"/>
    </row>
    <row r="31" spans="1:17" ht="1.5" customHeight="1">
      <c r="A31" s="673"/>
      <c r="B31" s="720"/>
      <c r="C31" s="721"/>
      <c r="D31" s="722"/>
      <c r="E31" s="711"/>
      <c r="F31" s="711"/>
      <c r="G31" s="711"/>
      <c r="H31" s="711"/>
      <c r="I31" s="711"/>
      <c r="J31" s="711"/>
      <c r="K31" s="633"/>
      <c r="L31" s="653"/>
      <c r="M31" s="653"/>
      <c r="N31" s="653"/>
      <c r="O31" s="653"/>
      <c r="P31" s="653"/>
      <c r="Q31" s="673"/>
    </row>
    <row r="32" spans="1:17" ht="16.5" customHeight="1">
      <c r="A32" s="673"/>
      <c r="B32" s="720"/>
      <c r="C32" s="721"/>
      <c r="D32" s="722"/>
      <c r="E32" s="711"/>
      <c r="F32" s="711"/>
      <c r="G32" s="711"/>
      <c r="H32" s="711"/>
      <c r="I32" s="711"/>
      <c r="J32" s="711"/>
      <c r="K32" s="638" t="s">
        <v>257</v>
      </c>
      <c r="L32" s="654" t="s">
        <v>236</v>
      </c>
      <c r="M32" s="654" t="s">
        <v>236</v>
      </c>
      <c r="N32" s="654" t="s">
        <v>236</v>
      </c>
      <c r="O32" s="654" t="s">
        <v>236</v>
      </c>
      <c r="P32" s="654" t="s">
        <v>236</v>
      </c>
      <c r="Q32" s="673"/>
    </row>
    <row r="33" spans="1:17" ht="16.5" customHeight="1" thickBot="1">
      <c r="A33" s="674"/>
      <c r="B33" s="720"/>
      <c r="C33" s="721"/>
      <c r="D33" s="1133"/>
      <c r="E33" s="1132"/>
      <c r="F33" s="1132"/>
      <c r="G33" s="1132"/>
      <c r="H33" s="1132"/>
      <c r="I33" s="1132"/>
      <c r="J33" s="1132"/>
      <c r="K33" s="638"/>
      <c r="L33" s="655"/>
      <c r="M33" s="655"/>
      <c r="N33" s="655"/>
      <c r="O33" s="655"/>
      <c r="P33" s="655"/>
      <c r="Q33" s="674"/>
    </row>
    <row r="34" spans="1:17" ht="10.5" customHeight="1">
      <c r="A34" s="679"/>
      <c r="B34" s="681" t="s">
        <v>33</v>
      </c>
      <c r="C34" s="717"/>
      <c r="D34" s="1127" t="s">
        <v>249</v>
      </c>
      <c r="E34" s="1129">
        <f>SUM(F34:J35)</f>
        <v>210</v>
      </c>
      <c r="F34" s="1129">
        <f>SUM(F36:F37)</f>
        <v>70</v>
      </c>
      <c r="G34" s="1129">
        <f>SUM(G36:G37)</f>
        <v>35</v>
      </c>
      <c r="H34" s="1130">
        <f>SUM(H36:H37)</f>
        <v>35</v>
      </c>
      <c r="I34" s="1130">
        <f>SUM(I36:I37)</f>
        <v>35</v>
      </c>
      <c r="J34" s="1130">
        <f>SUM(J36:J37)</f>
        <v>35</v>
      </c>
      <c r="K34" s="691"/>
      <c r="L34" s="689"/>
      <c r="M34" s="689"/>
      <c r="N34" s="689"/>
      <c r="O34" s="689"/>
      <c r="P34" s="689"/>
      <c r="Q34" s="679"/>
    </row>
    <row r="35" spans="1:17" ht="10.5" customHeight="1">
      <c r="A35" s="679"/>
      <c r="B35" s="681"/>
      <c r="C35" s="717"/>
      <c r="D35" s="1128"/>
      <c r="E35" s="1126"/>
      <c r="F35" s="1126"/>
      <c r="G35" s="1126"/>
      <c r="H35" s="1131"/>
      <c r="I35" s="1131"/>
      <c r="J35" s="1131"/>
      <c r="K35" s="691"/>
      <c r="L35" s="689"/>
      <c r="M35" s="689"/>
      <c r="N35" s="689"/>
      <c r="O35" s="689"/>
      <c r="P35" s="689"/>
      <c r="Q35" s="679"/>
    </row>
    <row r="36" spans="1:17" ht="10.5" customHeight="1">
      <c r="A36" s="679"/>
      <c r="B36" s="681"/>
      <c r="C36" s="717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691"/>
      <c r="L36" s="689"/>
      <c r="M36" s="689"/>
      <c r="N36" s="689"/>
      <c r="O36" s="689"/>
      <c r="P36" s="689"/>
      <c r="Q36" s="679"/>
    </row>
    <row r="37" spans="1:17" ht="10.5" customHeight="1" thickBot="1">
      <c r="A37" s="679"/>
      <c r="B37" s="681"/>
      <c r="C37" s="717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691"/>
      <c r="L37" s="689"/>
      <c r="M37" s="689"/>
      <c r="N37" s="689"/>
      <c r="O37" s="689"/>
      <c r="P37" s="689"/>
      <c r="Q37" s="679"/>
    </row>
    <row r="38" spans="1:17" ht="15.75" customHeight="1" thickBot="1">
      <c r="A38" s="8" t="s">
        <v>34</v>
      </c>
      <c r="B38" s="635" t="s">
        <v>147</v>
      </c>
      <c r="C38" s="636"/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637"/>
    </row>
    <row r="39" spans="1:17" ht="23.25" customHeight="1">
      <c r="A39" s="612" t="s">
        <v>36</v>
      </c>
      <c r="B39" s="719" t="s">
        <v>83</v>
      </c>
      <c r="C39" s="679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627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673"/>
      <c r="B40" s="720"/>
      <c r="C40" s="721"/>
      <c r="D40" s="725" t="s">
        <v>212</v>
      </c>
      <c r="E40" s="708">
        <f>SUM(F40:J41)</f>
        <v>546.5</v>
      </c>
      <c r="F40" s="708">
        <f>SUM(F48,F45,F51)</f>
        <v>356.5</v>
      </c>
      <c r="G40" s="708">
        <f>SUM(G48,G45,G51)</f>
        <v>100</v>
      </c>
      <c r="H40" s="708">
        <f>SUM(H48,H45,H51)</f>
        <v>30</v>
      </c>
      <c r="I40" s="708">
        <f>SUM(I48,I45,I51)</f>
        <v>30</v>
      </c>
      <c r="J40" s="708">
        <f>SUM(J48,J45,J51)</f>
        <v>30</v>
      </c>
      <c r="K40" s="723"/>
      <c r="L40" s="727">
        <v>100</v>
      </c>
      <c r="M40" s="727">
        <v>100</v>
      </c>
      <c r="N40" s="727">
        <v>100</v>
      </c>
      <c r="O40" s="727">
        <v>100</v>
      </c>
      <c r="P40" s="727">
        <v>100</v>
      </c>
      <c r="Q40" s="729" t="s">
        <v>132</v>
      </c>
    </row>
    <row r="41" spans="1:17" ht="6" customHeight="1">
      <c r="A41" s="673"/>
      <c r="B41" s="720"/>
      <c r="C41" s="721"/>
      <c r="D41" s="726"/>
      <c r="E41" s="709"/>
      <c r="F41" s="709"/>
      <c r="G41" s="709"/>
      <c r="H41" s="709"/>
      <c r="I41" s="709"/>
      <c r="J41" s="709"/>
      <c r="K41" s="723"/>
      <c r="L41" s="728"/>
      <c r="M41" s="728"/>
      <c r="N41" s="728"/>
      <c r="O41" s="728"/>
      <c r="P41" s="728"/>
      <c r="Q41" s="730"/>
    </row>
    <row r="42" spans="1:17" ht="11.25" customHeight="1">
      <c r="A42" s="673"/>
      <c r="B42" s="720"/>
      <c r="C42" s="721"/>
      <c r="D42" s="726"/>
      <c r="E42" s="708">
        <f>SUM(F42:J43)</f>
        <v>755.4</v>
      </c>
      <c r="F42" s="712">
        <f>SUM(F49,F46,F52)</f>
        <v>465.4</v>
      </c>
      <c r="G42" s="713">
        <f>SUM(G49,G46,G52)</f>
        <v>200</v>
      </c>
      <c r="H42" s="713">
        <f>SUM(H49,H46,H52)</f>
        <v>30</v>
      </c>
      <c r="I42" s="713">
        <f>SUM(I49,I46,I52)</f>
        <v>30</v>
      </c>
      <c r="J42" s="713">
        <f>SUM(J49,J46,J52)</f>
        <v>30</v>
      </c>
      <c r="K42" s="723"/>
      <c r="L42" s="727">
        <v>100</v>
      </c>
      <c r="M42" s="727">
        <v>100</v>
      </c>
      <c r="N42" s="727">
        <v>100</v>
      </c>
      <c r="O42" s="727">
        <v>100</v>
      </c>
      <c r="P42" s="727">
        <v>100</v>
      </c>
      <c r="Q42" s="626" t="s">
        <v>131</v>
      </c>
    </row>
    <row r="43" spans="1:17" ht="6" customHeight="1" thickBot="1">
      <c r="A43" s="674"/>
      <c r="B43" s="720"/>
      <c r="C43" s="721"/>
      <c r="D43" s="1134"/>
      <c r="E43" s="711"/>
      <c r="F43" s="713"/>
      <c r="G43" s="731"/>
      <c r="H43" s="731"/>
      <c r="I43" s="731"/>
      <c r="J43" s="731"/>
      <c r="K43" s="724"/>
      <c r="L43" s="728"/>
      <c r="M43" s="728"/>
      <c r="N43" s="728"/>
      <c r="O43" s="728"/>
      <c r="P43" s="728"/>
      <c r="Q43" s="626"/>
    </row>
    <row r="44" spans="1:17" ht="20.25" customHeight="1">
      <c r="A44" s="612" t="s">
        <v>82</v>
      </c>
      <c r="B44" s="630" t="s">
        <v>84</v>
      </c>
      <c r="C44" s="732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734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673"/>
      <c r="B45" s="675"/>
      <c r="C45" s="687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735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674"/>
      <c r="B46" s="676"/>
      <c r="C46" s="733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736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612" t="s">
        <v>85</v>
      </c>
      <c r="B47" s="630" t="s">
        <v>86</v>
      </c>
      <c r="C47" s="732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734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673"/>
      <c r="B48" s="675"/>
      <c r="C48" s="687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735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674"/>
      <c r="B49" s="676"/>
      <c r="C49" s="733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736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612" t="s">
        <v>138</v>
      </c>
      <c r="B50" s="630" t="s">
        <v>139</v>
      </c>
      <c r="C50" s="732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734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673"/>
      <c r="B51" s="675"/>
      <c r="C51" s="687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735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674"/>
      <c r="B52" s="676"/>
      <c r="C52" s="733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736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612" t="s">
        <v>64</v>
      </c>
      <c r="B53" s="630" t="s">
        <v>89</v>
      </c>
      <c r="C53" s="732" t="s">
        <v>161</v>
      </c>
      <c r="D53" s="739" t="s">
        <v>259</v>
      </c>
      <c r="E53" s="741">
        <f>SUM(F53:J56)</f>
        <v>1520.9</v>
      </c>
      <c r="F53" s="741">
        <f>SUM(F59,F61,F64)</f>
        <v>260.8</v>
      </c>
      <c r="G53" s="741">
        <f>SUM(G56:G57)</f>
        <v>419.3</v>
      </c>
      <c r="H53" s="741">
        <f>SUM(H56:H57)</f>
        <v>80</v>
      </c>
      <c r="I53" s="741">
        <f>SUM(I56:I57)</f>
        <v>80</v>
      </c>
      <c r="J53" s="741">
        <f>SUM(J56:J57)</f>
        <v>80</v>
      </c>
      <c r="K53" s="627"/>
      <c r="L53" s="654"/>
      <c r="M53" s="654"/>
      <c r="N53" s="654"/>
      <c r="O53" s="654"/>
      <c r="P53" s="654"/>
      <c r="Q53" s="626"/>
    </row>
    <row r="54" spans="1:17" ht="6.75" customHeight="1">
      <c r="A54" s="617"/>
      <c r="B54" s="631"/>
      <c r="C54" s="682"/>
      <c r="D54" s="740"/>
      <c r="E54" s="742"/>
      <c r="F54" s="742"/>
      <c r="G54" s="742"/>
      <c r="H54" s="742"/>
      <c r="I54" s="742"/>
      <c r="J54" s="742"/>
      <c r="K54" s="723"/>
      <c r="L54" s="655"/>
      <c r="M54" s="655"/>
      <c r="N54" s="655"/>
      <c r="O54" s="655"/>
      <c r="P54" s="655"/>
      <c r="Q54" s="744"/>
    </row>
    <row r="55" spans="1:17" ht="6.75" customHeight="1">
      <c r="A55" s="617"/>
      <c r="B55" s="631"/>
      <c r="C55" s="682"/>
      <c r="D55" s="740"/>
      <c r="E55" s="743"/>
      <c r="F55" s="743"/>
      <c r="G55" s="743"/>
      <c r="H55" s="743"/>
      <c r="I55" s="743"/>
      <c r="J55" s="743"/>
      <c r="K55" s="723"/>
      <c r="L55" s="655"/>
      <c r="M55" s="655"/>
      <c r="N55" s="655"/>
      <c r="O55" s="655"/>
      <c r="P55" s="655"/>
      <c r="Q55" s="744"/>
    </row>
    <row r="56" spans="1:17" ht="17.25" customHeight="1">
      <c r="A56" s="617"/>
      <c r="B56" s="631"/>
      <c r="C56" s="682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723"/>
      <c r="L56" s="655"/>
      <c r="M56" s="655"/>
      <c r="N56" s="655"/>
      <c r="O56" s="655"/>
      <c r="P56" s="655"/>
      <c r="Q56" s="744"/>
    </row>
    <row r="57" spans="1:17" ht="17.25" customHeight="1">
      <c r="A57" s="614"/>
      <c r="B57" s="737"/>
      <c r="C57" s="738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724"/>
      <c r="L57" s="655"/>
      <c r="M57" s="655"/>
      <c r="N57" s="655"/>
      <c r="O57" s="655"/>
      <c r="P57" s="655"/>
      <c r="Q57" s="744"/>
    </row>
    <row r="58" spans="1:17" ht="24.75" customHeight="1">
      <c r="A58" s="612" t="s">
        <v>87</v>
      </c>
      <c r="B58" s="630" t="s">
        <v>84</v>
      </c>
      <c r="C58" s="732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693" t="s">
        <v>261</v>
      </c>
      <c r="L58" s="654" t="s">
        <v>236</v>
      </c>
      <c r="M58" s="654" t="s">
        <v>213</v>
      </c>
      <c r="N58" s="654" t="s">
        <v>213</v>
      </c>
      <c r="O58" s="654" t="s">
        <v>213</v>
      </c>
      <c r="P58" s="654" t="s">
        <v>213</v>
      </c>
      <c r="Q58" s="746" t="s">
        <v>51</v>
      </c>
    </row>
    <row r="59" spans="1:17" ht="11.25" customHeight="1">
      <c r="A59" s="613"/>
      <c r="B59" s="745"/>
      <c r="C59" s="682"/>
      <c r="D59" s="710" t="s">
        <v>5</v>
      </c>
      <c r="E59" s="711">
        <f>SUM(F59:J60)</f>
        <v>104.4</v>
      </c>
      <c r="F59" s="748">
        <v>104.4</v>
      </c>
      <c r="G59" s="750">
        <v>0</v>
      </c>
      <c r="H59" s="750">
        <v>0</v>
      </c>
      <c r="I59" s="750">
        <v>0</v>
      </c>
      <c r="J59" s="750">
        <v>0</v>
      </c>
      <c r="K59" s="693"/>
      <c r="L59" s="655"/>
      <c r="M59" s="655"/>
      <c r="N59" s="655"/>
      <c r="O59" s="655"/>
      <c r="P59" s="655"/>
      <c r="Q59" s="747"/>
    </row>
    <row r="60" spans="1:17" ht="12.75" customHeight="1" thickBot="1">
      <c r="A60" s="614"/>
      <c r="B60" s="737"/>
      <c r="C60" s="738"/>
      <c r="D60" s="714"/>
      <c r="E60" s="709"/>
      <c r="F60" s="749"/>
      <c r="G60" s="731"/>
      <c r="H60" s="731"/>
      <c r="I60" s="731"/>
      <c r="J60" s="731"/>
      <c r="K60" s="693"/>
      <c r="L60" s="655"/>
      <c r="M60" s="655"/>
      <c r="N60" s="655"/>
      <c r="O60" s="655"/>
      <c r="P60" s="655"/>
      <c r="Q60" s="747"/>
    </row>
    <row r="61" spans="1:17" ht="22.5" customHeight="1">
      <c r="A61" s="612" t="s">
        <v>88</v>
      </c>
      <c r="B61" s="630" t="s">
        <v>86</v>
      </c>
      <c r="C61" s="732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693" t="s">
        <v>261</v>
      </c>
      <c r="L61" s="654" t="s">
        <v>236</v>
      </c>
      <c r="M61" s="654" t="s">
        <v>213</v>
      </c>
      <c r="N61" s="654" t="s">
        <v>236</v>
      </c>
      <c r="O61" s="654" t="s">
        <v>236</v>
      </c>
      <c r="P61" s="654" t="s">
        <v>236</v>
      </c>
      <c r="Q61" s="746" t="s">
        <v>51</v>
      </c>
    </row>
    <row r="62" spans="1:17" ht="12" customHeight="1">
      <c r="A62" s="613"/>
      <c r="B62" s="745"/>
      <c r="C62" s="682"/>
      <c r="D62" s="710" t="s">
        <v>5</v>
      </c>
      <c r="E62" s="708">
        <f>SUM(F62:J63)</f>
        <v>332.8</v>
      </c>
      <c r="F62" s="751">
        <v>92.8</v>
      </c>
      <c r="G62" s="713">
        <f>80-80</f>
        <v>0</v>
      </c>
      <c r="H62" s="713">
        <v>80</v>
      </c>
      <c r="I62" s="713">
        <v>80</v>
      </c>
      <c r="J62" s="713">
        <v>80</v>
      </c>
      <c r="K62" s="693"/>
      <c r="L62" s="655"/>
      <c r="M62" s="655"/>
      <c r="N62" s="655"/>
      <c r="O62" s="655"/>
      <c r="P62" s="655"/>
      <c r="Q62" s="747"/>
    </row>
    <row r="63" spans="1:17" ht="12.75" customHeight="1" thickBot="1">
      <c r="A63" s="614"/>
      <c r="B63" s="737"/>
      <c r="C63" s="738"/>
      <c r="D63" s="714"/>
      <c r="E63" s="709"/>
      <c r="F63" s="749"/>
      <c r="G63" s="731"/>
      <c r="H63" s="731"/>
      <c r="I63" s="731"/>
      <c r="J63" s="731"/>
      <c r="K63" s="693"/>
      <c r="L63" s="655"/>
      <c r="M63" s="655"/>
      <c r="N63" s="655"/>
      <c r="O63" s="655"/>
      <c r="P63" s="655"/>
      <c r="Q63" s="747"/>
    </row>
    <row r="64" spans="1:17" ht="21" customHeight="1">
      <c r="A64" s="612" t="s">
        <v>140</v>
      </c>
      <c r="B64" s="630" t="s">
        <v>139</v>
      </c>
      <c r="C64" s="732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627" t="s">
        <v>261</v>
      </c>
      <c r="L64" s="621" t="s">
        <v>236</v>
      </c>
      <c r="M64" s="621" t="s">
        <v>236</v>
      </c>
      <c r="N64" s="621" t="s">
        <v>213</v>
      </c>
      <c r="O64" s="621" t="s">
        <v>213</v>
      </c>
      <c r="P64" s="621" t="s">
        <v>213</v>
      </c>
      <c r="Q64" s="612" t="s">
        <v>51</v>
      </c>
    </row>
    <row r="65" spans="1:17" ht="13.5" customHeight="1">
      <c r="A65" s="752"/>
      <c r="B65" s="752"/>
      <c r="C65" s="752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752"/>
      <c r="L65" s="752"/>
      <c r="M65" s="625"/>
      <c r="N65" s="752"/>
      <c r="O65" s="625"/>
      <c r="P65" s="625"/>
      <c r="Q65" s="752"/>
    </row>
    <row r="66" spans="1:17" ht="67.5" customHeight="1">
      <c r="A66" s="176" t="s">
        <v>292</v>
      </c>
      <c r="B66" s="140" t="s">
        <v>289</v>
      </c>
      <c r="C66" s="753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755" t="s">
        <v>291</v>
      </c>
      <c r="L66" s="710">
        <v>0</v>
      </c>
      <c r="M66" s="710">
        <v>100</v>
      </c>
      <c r="N66" s="710">
        <v>0</v>
      </c>
      <c r="O66" s="710">
        <v>0</v>
      </c>
      <c r="P66" s="710">
        <v>0</v>
      </c>
      <c r="Q66" s="710" t="s">
        <v>51</v>
      </c>
    </row>
    <row r="67" spans="1:17" ht="157.5" customHeight="1">
      <c r="A67" s="176" t="s">
        <v>293</v>
      </c>
      <c r="B67" s="170" t="s">
        <v>290</v>
      </c>
      <c r="C67" s="686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756"/>
      <c r="L67" s="688"/>
      <c r="M67" s="688"/>
      <c r="N67" s="688"/>
      <c r="O67" s="688"/>
      <c r="P67" s="688"/>
      <c r="Q67" s="688"/>
    </row>
    <row r="68" spans="1:17" ht="24" customHeight="1">
      <c r="A68" s="148" t="s">
        <v>294</v>
      </c>
      <c r="B68" s="170" t="s">
        <v>204</v>
      </c>
      <c r="C68" s="754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757"/>
      <c r="L68" s="758"/>
      <c r="M68" s="758"/>
      <c r="N68" s="758"/>
      <c r="O68" s="758"/>
      <c r="P68" s="758"/>
      <c r="Q68" s="758"/>
    </row>
    <row r="69" spans="1:17" ht="6.75" customHeight="1">
      <c r="A69" s="612" t="s">
        <v>90</v>
      </c>
      <c r="B69" s="630" t="s">
        <v>92</v>
      </c>
      <c r="C69" s="732" t="s">
        <v>161</v>
      </c>
      <c r="D69" s="759" t="s">
        <v>224</v>
      </c>
      <c r="E69" s="762">
        <f>SUM(F69:J72)</f>
        <v>880.8</v>
      </c>
      <c r="F69" s="762">
        <f>SUM(F76,F79,F80)</f>
        <v>800.8</v>
      </c>
      <c r="G69" s="762">
        <f>SUM(G76,G79)</f>
        <v>20</v>
      </c>
      <c r="H69" s="762">
        <f>SUM(H76,H79)</f>
        <v>20</v>
      </c>
      <c r="I69" s="762">
        <f>SUM(I76,I79)</f>
        <v>20</v>
      </c>
      <c r="J69" s="762">
        <f>SUM(J76,J79)</f>
        <v>20</v>
      </c>
      <c r="K69" s="638"/>
      <c r="L69" s="654"/>
      <c r="M69" s="654"/>
      <c r="N69" s="654"/>
      <c r="O69" s="654"/>
      <c r="P69" s="654"/>
      <c r="Q69" s="626"/>
    </row>
    <row r="70" spans="1:17" ht="6.75" customHeight="1">
      <c r="A70" s="617"/>
      <c r="B70" s="631"/>
      <c r="C70" s="682"/>
      <c r="D70" s="760"/>
      <c r="E70" s="763"/>
      <c r="F70" s="763"/>
      <c r="G70" s="763"/>
      <c r="H70" s="763"/>
      <c r="I70" s="763"/>
      <c r="J70" s="763"/>
      <c r="K70" s="693"/>
      <c r="L70" s="655"/>
      <c r="M70" s="655"/>
      <c r="N70" s="655"/>
      <c r="O70" s="655"/>
      <c r="P70" s="655"/>
      <c r="Q70" s="744"/>
    </row>
    <row r="71" spans="1:17" ht="10.5" customHeight="1">
      <c r="A71" s="617"/>
      <c r="B71" s="631"/>
      <c r="C71" s="682"/>
      <c r="D71" s="760"/>
      <c r="E71" s="763"/>
      <c r="F71" s="763"/>
      <c r="G71" s="763"/>
      <c r="H71" s="763"/>
      <c r="I71" s="763"/>
      <c r="J71" s="763"/>
      <c r="K71" s="693"/>
      <c r="L71" s="655"/>
      <c r="M71" s="655"/>
      <c r="N71" s="655"/>
      <c r="O71" s="655"/>
      <c r="P71" s="655"/>
      <c r="Q71" s="744"/>
    </row>
    <row r="72" spans="1:17" ht="10.5" customHeight="1">
      <c r="A72" s="617"/>
      <c r="B72" s="631"/>
      <c r="C72" s="682"/>
      <c r="D72" s="761"/>
      <c r="E72" s="764"/>
      <c r="F72" s="764"/>
      <c r="G72" s="764"/>
      <c r="H72" s="764"/>
      <c r="I72" s="764"/>
      <c r="J72" s="764"/>
      <c r="K72" s="693"/>
      <c r="L72" s="655"/>
      <c r="M72" s="655"/>
      <c r="N72" s="655"/>
      <c r="O72" s="655"/>
      <c r="P72" s="655"/>
      <c r="Q72" s="744"/>
    </row>
    <row r="73" spans="1:17" ht="10.5" customHeight="1">
      <c r="A73" s="613"/>
      <c r="B73" s="745"/>
      <c r="C73" s="682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693"/>
      <c r="L73" s="655"/>
      <c r="M73" s="655"/>
      <c r="N73" s="655"/>
      <c r="O73" s="655"/>
      <c r="P73" s="655"/>
      <c r="Q73" s="744"/>
    </row>
    <row r="74" spans="1:17" ht="10.5" customHeight="1">
      <c r="A74" s="614"/>
      <c r="B74" s="737"/>
      <c r="C74" s="738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693"/>
      <c r="L74" s="655"/>
      <c r="M74" s="655"/>
      <c r="N74" s="655"/>
      <c r="O74" s="655"/>
      <c r="P74" s="655"/>
      <c r="Q74" s="744"/>
    </row>
    <row r="75" spans="1:17" ht="24" customHeight="1">
      <c r="A75" s="612" t="s">
        <v>91</v>
      </c>
      <c r="B75" s="630" t="s">
        <v>86</v>
      </c>
      <c r="C75" s="732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638" t="s">
        <v>261</v>
      </c>
      <c r="L75" s="654" t="s">
        <v>236</v>
      </c>
      <c r="M75" s="654" t="s">
        <v>236</v>
      </c>
      <c r="N75" s="654" t="s">
        <v>236</v>
      </c>
      <c r="O75" s="654" t="s">
        <v>236</v>
      </c>
      <c r="P75" s="654" t="s">
        <v>236</v>
      </c>
      <c r="Q75" s="612" t="s">
        <v>142</v>
      </c>
    </row>
    <row r="76" spans="1:17" ht="13.5" customHeight="1">
      <c r="A76" s="613"/>
      <c r="B76" s="745"/>
      <c r="C76" s="664"/>
      <c r="D76" s="710" t="s">
        <v>5</v>
      </c>
      <c r="E76" s="765">
        <f>SUM(F76:J77)</f>
        <v>158.8</v>
      </c>
      <c r="F76" s="751">
        <f>118.8-40</f>
        <v>78.8</v>
      </c>
      <c r="G76" s="751">
        <v>20</v>
      </c>
      <c r="H76" s="751">
        <v>20</v>
      </c>
      <c r="I76" s="751">
        <v>20</v>
      </c>
      <c r="J76" s="751">
        <v>20</v>
      </c>
      <c r="K76" s="693"/>
      <c r="L76" s="655"/>
      <c r="M76" s="655"/>
      <c r="N76" s="655"/>
      <c r="O76" s="655"/>
      <c r="P76" s="655"/>
      <c r="Q76" s="617"/>
    </row>
    <row r="77" spans="1:17" ht="11.25" customHeight="1" thickBot="1">
      <c r="A77" s="614"/>
      <c r="B77" s="737"/>
      <c r="C77" s="664"/>
      <c r="D77" s="714"/>
      <c r="E77" s="766"/>
      <c r="F77" s="749"/>
      <c r="G77" s="749"/>
      <c r="H77" s="749"/>
      <c r="I77" s="749"/>
      <c r="J77" s="749"/>
      <c r="K77" s="693"/>
      <c r="L77" s="655"/>
      <c r="M77" s="655"/>
      <c r="N77" s="655"/>
      <c r="O77" s="655"/>
      <c r="P77" s="655"/>
      <c r="Q77" s="618"/>
    </row>
    <row r="78" spans="1:17" ht="24" customHeight="1">
      <c r="A78" s="612" t="s">
        <v>141</v>
      </c>
      <c r="B78" s="630" t="s">
        <v>139</v>
      </c>
      <c r="C78" s="679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638" t="s">
        <v>261</v>
      </c>
      <c r="L78" s="654" t="s">
        <v>236</v>
      </c>
      <c r="M78" s="654" t="s">
        <v>213</v>
      </c>
      <c r="N78" s="654" t="s">
        <v>213</v>
      </c>
      <c r="O78" s="654" t="s">
        <v>213</v>
      </c>
      <c r="P78" s="654" t="s">
        <v>213</v>
      </c>
      <c r="Q78" s="612" t="s">
        <v>142</v>
      </c>
    </row>
    <row r="79" spans="1:17" ht="16.5" customHeight="1">
      <c r="A79" s="613"/>
      <c r="B79" s="745"/>
      <c r="C79" s="696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693"/>
      <c r="L79" s="655"/>
      <c r="M79" s="655"/>
      <c r="N79" s="655"/>
      <c r="O79" s="655"/>
      <c r="P79" s="655"/>
      <c r="Q79" s="617"/>
    </row>
    <row r="80" spans="1:17" ht="16.5" customHeight="1" thickBot="1">
      <c r="A80" s="614"/>
      <c r="B80" s="737"/>
      <c r="C80" s="696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693"/>
      <c r="L80" s="655"/>
      <c r="M80" s="655"/>
      <c r="N80" s="655"/>
      <c r="O80" s="655"/>
      <c r="P80" s="655"/>
      <c r="Q80" s="618"/>
    </row>
    <row r="81" spans="1:17" ht="18" customHeight="1">
      <c r="A81" s="679"/>
      <c r="B81" s="681" t="s">
        <v>48</v>
      </c>
      <c r="C81" s="679"/>
      <c r="D81" s="1136" t="s">
        <v>207</v>
      </c>
      <c r="E81" s="702">
        <f>SUM(F81:J82)</f>
        <v>3102.8</v>
      </c>
      <c r="F81" s="702">
        <f>SUM(F83:F84)</f>
        <v>1883.5</v>
      </c>
      <c r="G81" s="702">
        <f>SUM(G83:G84)</f>
        <v>739.3</v>
      </c>
      <c r="H81" s="702">
        <f>SUM(H83:H84)</f>
        <v>160</v>
      </c>
      <c r="I81" s="702">
        <f>SUM(I83:I84)</f>
        <v>160</v>
      </c>
      <c r="J81" s="702">
        <f>SUM(J83:J84)</f>
        <v>160</v>
      </c>
      <c r="K81" s="767"/>
      <c r="L81" s="693"/>
      <c r="M81" s="693"/>
      <c r="N81" s="693"/>
      <c r="O81" s="693"/>
      <c r="P81" s="693"/>
      <c r="Q81" s="693"/>
    </row>
    <row r="82" spans="1:17" ht="12.75" customHeight="1">
      <c r="A82" s="679"/>
      <c r="B82" s="681"/>
      <c r="C82" s="679"/>
      <c r="D82" s="1137"/>
      <c r="E82" s="703"/>
      <c r="F82" s="703"/>
      <c r="G82" s="703"/>
      <c r="H82" s="703"/>
      <c r="I82" s="703"/>
      <c r="J82" s="703"/>
      <c r="K82" s="768"/>
      <c r="L82" s="693"/>
      <c r="M82" s="693"/>
      <c r="N82" s="693"/>
      <c r="O82" s="693"/>
      <c r="P82" s="693"/>
      <c r="Q82" s="693"/>
    </row>
    <row r="83" spans="1:17" ht="14.25" customHeight="1" thickBot="1">
      <c r="A83" s="679"/>
      <c r="B83" s="681"/>
      <c r="C83" s="679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768"/>
      <c r="L83" s="693"/>
      <c r="M83" s="693"/>
      <c r="N83" s="693"/>
      <c r="O83" s="693"/>
      <c r="P83" s="693"/>
      <c r="Q83" s="693"/>
    </row>
    <row r="84" spans="1:17" ht="14.25" customHeight="1" thickBot="1">
      <c r="A84" s="696"/>
      <c r="B84" s="1135"/>
      <c r="C84" s="696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769"/>
      <c r="L84" s="694"/>
      <c r="M84" s="694"/>
      <c r="N84" s="694"/>
      <c r="O84" s="694"/>
      <c r="P84" s="694"/>
      <c r="Q84" s="694"/>
    </row>
    <row r="85" spans="1:17" ht="13.5" customHeight="1">
      <c r="A85" s="8" t="s">
        <v>38</v>
      </c>
      <c r="B85" s="635" t="s">
        <v>93</v>
      </c>
      <c r="C85" s="636"/>
      <c r="D85" s="649"/>
      <c r="E85" s="649"/>
      <c r="F85" s="649"/>
      <c r="G85" s="649"/>
      <c r="H85" s="649"/>
      <c r="I85" s="649"/>
      <c r="J85" s="649"/>
      <c r="K85" s="636"/>
      <c r="L85" s="636"/>
      <c r="M85" s="636"/>
      <c r="N85" s="636"/>
      <c r="O85" s="636"/>
      <c r="P85" s="636"/>
      <c r="Q85" s="637"/>
    </row>
    <row r="86" spans="1:17" ht="16.5" customHeight="1">
      <c r="A86" s="612" t="s">
        <v>39</v>
      </c>
      <c r="B86" s="630" t="s">
        <v>58</v>
      </c>
      <c r="C86" s="732" t="s">
        <v>161</v>
      </c>
      <c r="D86" s="759" t="s">
        <v>223</v>
      </c>
      <c r="E86" s="741">
        <f aca="true" t="shared" si="13" ref="E86:J86">SUM(E93:E95)</f>
        <v>360286.7</v>
      </c>
      <c r="F86" s="741">
        <f t="shared" si="13"/>
        <v>75088</v>
      </c>
      <c r="G86" s="741">
        <f t="shared" si="13"/>
        <v>71066.7</v>
      </c>
      <c r="H86" s="741">
        <f t="shared" si="13"/>
        <v>67622</v>
      </c>
      <c r="I86" s="741">
        <f t="shared" si="13"/>
        <v>73255</v>
      </c>
      <c r="J86" s="741">
        <f t="shared" si="13"/>
        <v>73255</v>
      </c>
      <c r="K86" s="638" t="s">
        <v>262</v>
      </c>
      <c r="L86" s="654" t="s">
        <v>236</v>
      </c>
      <c r="M86" s="654" t="s">
        <v>236</v>
      </c>
      <c r="N86" s="654" t="s">
        <v>236</v>
      </c>
      <c r="O86" s="654" t="s">
        <v>236</v>
      </c>
      <c r="P86" s="654" t="s">
        <v>236</v>
      </c>
      <c r="Q86" s="654" t="s">
        <v>99</v>
      </c>
    </row>
    <row r="87" spans="1:17" ht="13.5" customHeight="1">
      <c r="A87" s="617"/>
      <c r="B87" s="631"/>
      <c r="C87" s="664"/>
      <c r="D87" s="760"/>
      <c r="E87" s="742"/>
      <c r="F87" s="742"/>
      <c r="G87" s="742"/>
      <c r="H87" s="742"/>
      <c r="I87" s="742"/>
      <c r="J87" s="742"/>
      <c r="K87" s="638"/>
      <c r="L87" s="654"/>
      <c r="M87" s="654"/>
      <c r="N87" s="654"/>
      <c r="O87" s="654"/>
      <c r="P87" s="654"/>
      <c r="Q87" s="654"/>
    </row>
    <row r="88" spans="1:17" ht="9" customHeight="1" hidden="1">
      <c r="A88" s="617"/>
      <c r="B88" s="631"/>
      <c r="C88" s="664"/>
      <c r="D88" s="760"/>
      <c r="E88" s="742"/>
      <c r="F88" s="742"/>
      <c r="G88" s="742"/>
      <c r="H88" s="742"/>
      <c r="I88" s="742"/>
      <c r="J88" s="742"/>
      <c r="K88" s="638"/>
      <c r="L88" s="654"/>
      <c r="M88" s="654"/>
      <c r="N88" s="654"/>
      <c r="O88" s="654"/>
      <c r="P88" s="654"/>
      <c r="Q88" s="654"/>
    </row>
    <row r="89" spans="1:17" ht="16.5" customHeight="1">
      <c r="A89" s="617"/>
      <c r="B89" s="631"/>
      <c r="C89" s="664"/>
      <c r="D89" s="761"/>
      <c r="E89" s="743"/>
      <c r="F89" s="743"/>
      <c r="G89" s="743"/>
      <c r="H89" s="743"/>
      <c r="I89" s="743"/>
      <c r="J89" s="743"/>
      <c r="K89" s="638"/>
      <c r="L89" s="654"/>
      <c r="M89" s="654"/>
      <c r="N89" s="654"/>
      <c r="O89" s="654"/>
      <c r="P89" s="654"/>
      <c r="Q89" s="654"/>
    </row>
    <row r="90" spans="1:17" ht="16.5" customHeight="1">
      <c r="A90" s="613"/>
      <c r="B90" s="745"/>
      <c r="C90" s="682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694"/>
      <c r="L90" s="747"/>
      <c r="M90" s="747"/>
      <c r="N90" s="747"/>
      <c r="O90" s="747"/>
      <c r="P90" s="747"/>
      <c r="Q90" s="747"/>
    </row>
    <row r="91" spans="1:17" ht="16.5" customHeight="1">
      <c r="A91" s="614"/>
      <c r="B91" s="737"/>
      <c r="C91" s="738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694"/>
      <c r="L91" s="747"/>
      <c r="M91" s="747"/>
      <c r="N91" s="747"/>
      <c r="O91" s="747"/>
      <c r="P91" s="747"/>
      <c r="Q91" s="747"/>
    </row>
    <row r="92" spans="1:17" ht="26.25" customHeight="1">
      <c r="A92" s="612" t="s">
        <v>94</v>
      </c>
      <c r="B92" s="612" t="s">
        <v>109</v>
      </c>
      <c r="C92" s="732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638" t="s">
        <v>263</v>
      </c>
      <c r="L92" s="654" t="s">
        <v>236</v>
      </c>
      <c r="M92" s="654" t="s">
        <v>236</v>
      </c>
      <c r="N92" s="654" t="s">
        <v>236</v>
      </c>
      <c r="O92" s="654" t="s">
        <v>236</v>
      </c>
      <c r="P92" s="654" t="s">
        <v>236</v>
      </c>
      <c r="Q92" s="621" t="s">
        <v>99</v>
      </c>
    </row>
    <row r="93" spans="1:17" ht="20.25" customHeight="1">
      <c r="A93" s="614"/>
      <c r="B93" s="801"/>
      <c r="C93" s="738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694"/>
      <c r="L93" s="747"/>
      <c r="M93" s="747"/>
      <c r="N93" s="747"/>
      <c r="O93" s="747"/>
      <c r="P93" s="747"/>
      <c r="Q93" s="653"/>
    </row>
    <row r="94" spans="1:17" ht="25.5" customHeight="1">
      <c r="A94" s="612" t="s">
        <v>95</v>
      </c>
      <c r="B94" s="612" t="s">
        <v>100</v>
      </c>
      <c r="C94" s="732" t="s">
        <v>161</v>
      </c>
      <c r="D94" s="759" t="s">
        <v>220</v>
      </c>
      <c r="E94" s="741">
        <f>F94+G94+H94+I94+J94</f>
        <v>240826.9</v>
      </c>
      <c r="F94" s="741">
        <f>F98+F103+F106+F109+F111</f>
        <v>46596.6</v>
      </c>
      <c r="G94" s="741">
        <f>G98+G103+G106+G109+G111</f>
        <v>48774.6</v>
      </c>
      <c r="H94" s="741">
        <f>H98+H103+H106+H109+H111</f>
        <v>46729.9</v>
      </c>
      <c r="I94" s="741">
        <f>I98+I103+I106+I109+I111</f>
        <v>49362.9</v>
      </c>
      <c r="J94" s="741">
        <f>J98+J103+J106+J109+J111</f>
        <v>49362.9</v>
      </c>
      <c r="K94" s="734" t="s">
        <v>263</v>
      </c>
      <c r="L94" s="727">
        <v>100</v>
      </c>
      <c r="M94" s="727">
        <v>100</v>
      </c>
      <c r="N94" s="727">
        <v>100</v>
      </c>
      <c r="O94" s="727">
        <v>100</v>
      </c>
      <c r="P94" s="727">
        <v>100</v>
      </c>
      <c r="Q94" s="621" t="s">
        <v>99</v>
      </c>
    </row>
    <row r="95" spans="1:17" ht="6" customHeight="1">
      <c r="A95" s="617"/>
      <c r="B95" s="617"/>
      <c r="C95" s="664"/>
      <c r="D95" s="761"/>
      <c r="E95" s="653"/>
      <c r="F95" s="653"/>
      <c r="G95" s="653"/>
      <c r="H95" s="653"/>
      <c r="I95" s="653"/>
      <c r="J95" s="653"/>
      <c r="K95" s="723"/>
      <c r="L95" s="1138"/>
      <c r="M95" s="1138"/>
      <c r="N95" s="1138"/>
      <c r="O95" s="1138"/>
      <c r="P95" s="1138"/>
      <c r="Q95" s="622"/>
    </row>
    <row r="96" spans="1:17" ht="15.75" customHeight="1">
      <c r="A96" s="614"/>
      <c r="B96" s="614"/>
      <c r="C96" s="738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724"/>
      <c r="L96" s="653"/>
      <c r="M96" s="653"/>
      <c r="N96" s="653"/>
      <c r="O96" s="653"/>
      <c r="P96" s="653"/>
      <c r="Q96" s="653"/>
    </row>
    <row r="97" spans="1:17" ht="24.75" customHeight="1">
      <c r="A97" s="612" t="s">
        <v>101</v>
      </c>
      <c r="B97" s="630" t="s">
        <v>103</v>
      </c>
      <c r="C97" s="732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627" t="s">
        <v>264</v>
      </c>
      <c r="L97" s="621" t="s">
        <v>236</v>
      </c>
      <c r="M97" s="621" t="s">
        <v>236</v>
      </c>
      <c r="N97" s="621" t="s">
        <v>236</v>
      </c>
      <c r="O97" s="621" t="s">
        <v>236</v>
      </c>
      <c r="P97" s="621" t="s">
        <v>236</v>
      </c>
      <c r="Q97" s="621" t="s">
        <v>99</v>
      </c>
    </row>
    <row r="98" spans="1:17" ht="19.5" customHeight="1">
      <c r="A98" s="613"/>
      <c r="B98" s="804"/>
      <c r="C98" s="1139"/>
      <c r="D98" s="710" t="s">
        <v>6</v>
      </c>
      <c r="E98" s="708">
        <f>SUM(F98:J99)</f>
        <v>10274</v>
      </c>
      <c r="F98" s="708">
        <v>1840</v>
      </c>
      <c r="G98" s="708">
        <v>1934</v>
      </c>
      <c r="H98" s="708">
        <v>2100</v>
      </c>
      <c r="I98" s="708">
        <v>2200</v>
      </c>
      <c r="J98" s="708">
        <v>2200</v>
      </c>
      <c r="K98" s="723"/>
      <c r="L98" s="1141"/>
      <c r="M98" s="1141"/>
      <c r="N98" s="1141"/>
      <c r="O98" s="1141"/>
      <c r="P98" s="1141"/>
      <c r="Q98" s="622"/>
    </row>
    <row r="99" spans="1:17" ht="26.25" customHeight="1">
      <c r="A99" s="613"/>
      <c r="B99" s="804"/>
      <c r="C99" s="1139"/>
      <c r="D99" s="722"/>
      <c r="E99" s="711"/>
      <c r="F99" s="711"/>
      <c r="G99" s="711"/>
      <c r="H99" s="711"/>
      <c r="I99" s="711"/>
      <c r="J99" s="711"/>
      <c r="K99" s="723"/>
      <c r="L99" s="1141"/>
      <c r="M99" s="1141"/>
      <c r="N99" s="1141"/>
      <c r="O99" s="1141"/>
      <c r="P99" s="1141"/>
      <c r="Q99" s="622"/>
    </row>
    <row r="100" spans="1:17" ht="6" customHeight="1">
      <c r="A100" s="613"/>
      <c r="B100" s="804"/>
      <c r="C100" s="1139"/>
      <c r="D100" s="688"/>
      <c r="E100" s="622"/>
      <c r="F100" s="688"/>
      <c r="G100" s="688"/>
      <c r="H100" s="688"/>
      <c r="I100" s="622"/>
      <c r="J100" s="622"/>
      <c r="K100" s="723"/>
      <c r="L100" s="1141"/>
      <c r="M100" s="1141"/>
      <c r="N100" s="1141"/>
      <c r="O100" s="1141"/>
      <c r="P100" s="1141"/>
      <c r="Q100" s="622"/>
    </row>
    <row r="101" spans="1:17" ht="9" customHeight="1">
      <c r="A101" s="614"/>
      <c r="B101" s="801"/>
      <c r="C101" s="1140"/>
      <c r="D101" s="758"/>
      <c r="E101" s="653"/>
      <c r="F101" s="758"/>
      <c r="G101" s="758"/>
      <c r="H101" s="758"/>
      <c r="I101" s="653"/>
      <c r="J101" s="653"/>
      <c r="K101" s="724"/>
      <c r="L101" s="625"/>
      <c r="M101" s="625"/>
      <c r="N101" s="625"/>
      <c r="O101" s="625"/>
      <c r="P101" s="625"/>
      <c r="Q101" s="653"/>
    </row>
    <row r="102" spans="1:17" ht="26.25" customHeight="1">
      <c r="A102" s="612" t="s">
        <v>102</v>
      </c>
      <c r="B102" s="630" t="s">
        <v>61</v>
      </c>
      <c r="C102" s="732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627" t="s">
        <v>263</v>
      </c>
      <c r="L102" s="621" t="s">
        <v>236</v>
      </c>
      <c r="M102" s="621" t="s">
        <v>213</v>
      </c>
      <c r="N102" s="621" t="s">
        <v>213</v>
      </c>
      <c r="O102" s="621" t="s">
        <v>213</v>
      </c>
      <c r="P102" s="621" t="s">
        <v>213</v>
      </c>
      <c r="Q102" s="159"/>
    </row>
    <row r="103" spans="1:17" ht="62.25" customHeight="1">
      <c r="A103" s="613"/>
      <c r="B103" s="804"/>
      <c r="C103" s="682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723"/>
      <c r="L103" s="1141"/>
      <c r="M103" s="1141"/>
      <c r="N103" s="1141"/>
      <c r="O103" s="1141"/>
      <c r="P103" s="1141"/>
      <c r="Q103" s="158" t="s">
        <v>206</v>
      </c>
    </row>
    <row r="104" spans="1:17" ht="51" customHeight="1" hidden="1">
      <c r="A104" s="614"/>
      <c r="B104" s="801"/>
      <c r="C104" s="738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724"/>
      <c r="L104" s="625"/>
      <c r="M104" s="625"/>
      <c r="N104" s="625"/>
      <c r="O104" s="625"/>
      <c r="P104" s="625"/>
      <c r="Q104" s="158"/>
    </row>
    <row r="105" spans="1:17" ht="28.5" customHeight="1">
      <c r="A105" s="800" t="s">
        <v>104</v>
      </c>
      <c r="B105" s="800" t="s">
        <v>66</v>
      </c>
      <c r="C105" s="732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627" t="s">
        <v>263</v>
      </c>
      <c r="L105" s="621" t="s">
        <v>236</v>
      </c>
      <c r="M105" s="621" t="s">
        <v>236</v>
      </c>
      <c r="N105" s="621" t="s">
        <v>236</v>
      </c>
      <c r="O105" s="621" t="s">
        <v>236</v>
      </c>
      <c r="P105" s="621" t="s">
        <v>236</v>
      </c>
      <c r="Q105" s="158"/>
    </row>
    <row r="106" spans="1:17" ht="26.25" customHeight="1">
      <c r="A106" s="801"/>
      <c r="B106" s="801"/>
      <c r="C106" s="682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724"/>
      <c r="L106" s="653"/>
      <c r="M106" s="653"/>
      <c r="N106" s="653"/>
      <c r="O106" s="653"/>
      <c r="P106" s="653"/>
      <c r="Q106" s="168" t="s">
        <v>205</v>
      </c>
    </row>
    <row r="107" spans="1:17" ht="36.75" customHeight="1" hidden="1">
      <c r="A107" s="81"/>
      <c r="B107" s="80"/>
      <c r="C107" s="738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612" t="s">
        <v>105</v>
      </c>
      <c r="B108" s="630" t="s">
        <v>62</v>
      </c>
      <c r="C108" s="732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627" t="s">
        <v>263</v>
      </c>
      <c r="L108" s="621" t="s">
        <v>236</v>
      </c>
      <c r="M108" s="621" t="s">
        <v>236</v>
      </c>
      <c r="N108" s="621" t="s">
        <v>236</v>
      </c>
      <c r="O108" s="621" t="s">
        <v>236</v>
      </c>
      <c r="P108" s="621" t="s">
        <v>236</v>
      </c>
      <c r="Q108" s="168"/>
    </row>
    <row r="109" spans="1:17" ht="16.5" customHeight="1">
      <c r="A109" s="801"/>
      <c r="B109" s="801"/>
      <c r="C109" s="738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724"/>
      <c r="L109" s="625"/>
      <c r="M109" s="625"/>
      <c r="N109" s="625"/>
      <c r="O109" s="625"/>
      <c r="P109" s="625"/>
      <c r="Q109" s="168" t="s">
        <v>99</v>
      </c>
    </row>
    <row r="110" spans="1:17" ht="26.25" customHeight="1">
      <c r="A110" s="612" t="s">
        <v>106</v>
      </c>
      <c r="B110" s="630" t="s">
        <v>65</v>
      </c>
      <c r="C110" s="732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627" t="s">
        <v>263</v>
      </c>
      <c r="L110" s="621" t="s">
        <v>236</v>
      </c>
      <c r="M110" s="621" t="s">
        <v>236</v>
      </c>
      <c r="N110" s="621" t="s">
        <v>236</v>
      </c>
      <c r="O110" s="621" t="s">
        <v>236</v>
      </c>
      <c r="P110" s="621" t="s">
        <v>236</v>
      </c>
      <c r="Q110" s="168"/>
    </row>
    <row r="111" spans="1:17" ht="44.25" customHeight="1">
      <c r="A111" s="804"/>
      <c r="B111" s="804"/>
      <c r="C111" s="682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723"/>
      <c r="L111" s="1142"/>
      <c r="M111" s="1142"/>
      <c r="N111" s="1142"/>
      <c r="O111" s="1142"/>
      <c r="P111" s="1142"/>
      <c r="Q111" s="168" t="s">
        <v>160</v>
      </c>
    </row>
    <row r="112" spans="1:17" ht="34.5" customHeight="1" hidden="1">
      <c r="A112" s="801"/>
      <c r="B112" s="801"/>
      <c r="C112" s="738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24"/>
      <c r="L112" s="1143"/>
      <c r="M112" s="1143"/>
      <c r="N112" s="1143"/>
      <c r="O112" s="1143"/>
      <c r="P112" s="1143"/>
      <c r="Q112" s="168"/>
    </row>
    <row r="113" spans="1:17" ht="30" customHeight="1">
      <c r="A113" s="612" t="s">
        <v>107</v>
      </c>
      <c r="B113" s="630" t="s">
        <v>59</v>
      </c>
      <c r="C113" s="732" t="s">
        <v>161</v>
      </c>
      <c r="D113" s="739" t="s">
        <v>216</v>
      </c>
      <c r="E113" s="741">
        <f aca="true" t="shared" si="24" ref="E113:J113">SUM(E120:E122)</f>
        <v>356639.5</v>
      </c>
      <c r="F113" s="741">
        <f t="shared" si="24"/>
        <v>70964.8</v>
      </c>
      <c r="G113" s="741">
        <f t="shared" si="24"/>
        <v>65711.8</v>
      </c>
      <c r="H113" s="741">
        <f t="shared" si="24"/>
        <v>69306.1</v>
      </c>
      <c r="I113" s="741">
        <f t="shared" si="24"/>
        <v>75328.4</v>
      </c>
      <c r="J113" s="741">
        <f t="shared" si="24"/>
        <v>75328.4</v>
      </c>
      <c r="K113" s="627" t="s">
        <v>50</v>
      </c>
      <c r="L113" s="621" t="s">
        <v>266</v>
      </c>
      <c r="M113" s="621" t="s">
        <v>266</v>
      </c>
      <c r="N113" s="621" t="s">
        <v>266</v>
      </c>
      <c r="O113" s="621" t="s">
        <v>266</v>
      </c>
      <c r="P113" s="621" t="s">
        <v>266</v>
      </c>
      <c r="Q113" s="612" t="s">
        <v>51</v>
      </c>
    </row>
    <row r="114" spans="1:17" ht="5.25" customHeight="1">
      <c r="A114" s="617"/>
      <c r="B114" s="631"/>
      <c r="C114" s="664"/>
      <c r="D114" s="740"/>
      <c r="E114" s="742"/>
      <c r="F114" s="742"/>
      <c r="G114" s="742"/>
      <c r="H114" s="742"/>
      <c r="I114" s="742"/>
      <c r="J114" s="742"/>
      <c r="K114" s="1145"/>
      <c r="L114" s="1141"/>
      <c r="M114" s="1141"/>
      <c r="N114" s="1141"/>
      <c r="O114" s="1141"/>
      <c r="P114" s="1141"/>
      <c r="Q114" s="617"/>
    </row>
    <row r="115" spans="1:17" ht="15" customHeight="1">
      <c r="A115" s="617"/>
      <c r="B115" s="631"/>
      <c r="C115" s="664"/>
      <c r="D115" s="740"/>
      <c r="E115" s="742"/>
      <c r="F115" s="742"/>
      <c r="G115" s="742"/>
      <c r="H115" s="742"/>
      <c r="I115" s="742"/>
      <c r="J115" s="742"/>
      <c r="K115" s="1145"/>
      <c r="L115" s="1141"/>
      <c r="M115" s="1141"/>
      <c r="N115" s="1141"/>
      <c r="O115" s="1141"/>
      <c r="P115" s="1141"/>
      <c r="Q115" s="617"/>
    </row>
    <row r="116" spans="1:17" ht="4.5" customHeight="1">
      <c r="A116" s="617"/>
      <c r="B116" s="631"/>
      <c r="C116" s="664"/>
      <c r="D116" s="1144"/>
      <c r="E116" s="743"/>
      <c r="F116" s="743"/>
      <c r="G116" s="743"/>
      <c r="H116" s="743"/>
      <c r="I116" s="743"/>
      <c r="J116" s="743"/>
      <c r="K116" s="1145"/>
      <c r="L116" s="1141"/>
      <c r="M116" s="1141"/>
      <c r="N116" s="1141"/>
      <c r="O116" s="1141"/>
      <c r="P116" s="1141"/>
      <c r="Q116" s="617"/>
    </row>
    <row r="117" spans="1:17" ht="15" customHeight="1">
      <c r="A117" s="613"/>
      <c r="B117" s="745"/>
      <c r="C117" s="682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723"/>
      <c r="L117" s="1142"/>
      <c r="M117" s="1142"/>
      <c r="N117" s="1142"/>
      <c r="O117" s="1142"/>
      <c r="P117" s="1142"/>
      <c r="Q117" s="613"/>
    </row>
    <row r="118" spans="1:17" ht="15" customHeight="1">
      <c r="A118" s="614"/>
      <c r="B118" s="737"/>
      <c r="C118" s="738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724"/>
      <c r="L118" s="1143"/>
      <c r="M118" s="1143"/>
      <c r="N118" s="1143"/>
      <c r="O118" s="1143"/>
      <c r="P118" s="1143"/>
      <c r="Q118" s="614"/>
    </row>
    <row r="119" spans="1:17" ht="21" customHeight="1">
      <c r="A119" s="612" t="s">
        <v>96</v>
      </c>
      <c r="B119" s="630" t="s">
        <v>110</v>
      </c>
      <c r="C119" s="732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627" t="s">
        <v>267</v>
      </c>
      <c r="L119" s="621" t="s">
        <v>236</v>
      </c>
      <c r="M119" s="621" t="s">
        <v>236</v>
      </c>
      <c r="N119" s="621" t="s">
        <v>236</v>
      </c>
      <c r="O119" s="621" t="s">
        <v>236</v>
      </c>
      <c r="P119" s="621" t="s">
        <v>236</v>
      </c>
      <c r="Q119" s="621" t="s">
        <v>51</v>
      </c>
    </row>
    <row r="120" spans="1:17" ht="14.25" customHeight="1">
      <c r="A120" s="613"/>
      <c r="B120" s="745"/>
      <c r="C120" s="682"/>
      <c r="D120" s="710" t="s">
        <v>5</v>
      </c>
      <c r="E120" s="708">
        <f>SUM(F120:J121)</f>
        <v>44544.2</v>
      </c>
      <c r="F120" s="708">
        <v>11383.4</v>
      </c>
      <c r="G120" s="708">
        <f>8645.2+80</f>
        <v>8725.2</v>
      </c>
      <c r="H120" s="708">
        <v>7145.2</v>
      </c>
      <c r="I120" s="708">
        <v>8645.2</v>
      </c>
      <c r="J120" s="708">
        <v>8645.2</v>
      </c>
      <c r="K120" s="723"/>
      <c r="L120" s="1142"/>
      <c r="M120" s="1142"/>
      <c r="N120" s="1142"/>
      <c r="O120" s="1142"/>
      <c r="P120" s="1142"/>
      <c r="Q120" s="622"/>
    </row>
    <row r="121" spans="1:17" ht="14.25" customHeight="1">
      <c r="A121" s="614"/>
      <c r="B121" s="737"/>
      <c r="C121" s="738"/>
      <c r="D121" s="714"/>
      <c r="E121" s="709"/>
      <c r="F121" s="709"/>
      <c r="G121" s="709"/>
      <c r="H121" s="709"/>
      <c r="I121" s="709"/>
      <c r="J121" s="709"/>
      <c r="K121" s="724"/>
      <c r="L121" s="1143"/>
      <c r="M121" s="1143"/>
      <c r="N121" s="1143"/>
      <c r="O121" s="1143"/>
      <c r="P121" s="1143"/>
      <c r="Q121" s="653"/>
    </row>
    <row r="122" spans="1:17" ht="24" customHeight="1">
      <c r="A122" s="612" t="s">
        <v>97</v>
      </c>
      <c r="B122" s="630" t="s">
        <v>108</v>
      </c>
      <c r="C122" s="732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638"/>
      <c r="L122" s="746"/>
      <c r="M122" s="746"/>
      <c r="N122" s="746"/>
      <c r="O122" s="746"/>
      <c r="P122" s="746"/>
      <c r="Q122" s="621"/>
    </row>
    <row r="123" spans="1:17" ht="24" customHeight="1">
      <c r="A123" s="614"/>
      <c r="B123" s="737"/>
      <c r="C123" s="738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694"/>
      <c r="L123" s="747"/>
      <c r="M123" s="747"/>
      <c r="N123" s="747"/>
      <c r="O123" s="747"/>
      <c r="P123" s="747"/>
      <c r="Q123" s="653"/>
    </row>
    <row r="124" spans="1:17" ht="26.25" customHeight="1">
      <c r="A124" s="612" t="s">
        <v>112</v>
      </c>
      <c r="B124" s="630" t="s">
        <v>62</v>
      </c>
      <c r="C124" s="717" t="s">
        <v>161</v>
      </c>
      <c r="D124" s="710" t="s">
        <v>6</v>
      </c>
      <c r="E124" s="712">
        <f>SUM(F124:J125)</f>
        <v>310796.10000000003</v>
      </c>
      <c r="F124" s="712">
        <f>62197.9-3100.2</f>
        <v>59097.700000000004</v>
      </c>
      <c r="G124" s="712">
        <f>60023.4-3252.3</f>
        <v>56771.1</v>
      </c>
      <c r="H124" s="712">
        <v>61960.9</v>
      </c>
      <c r="I124" s="712">
        <v>66483.2</v>
      </c>
      <c r="J124" s="712">
        <v>66483.2</v>
      </c>
      <c r="K124" s="638" t="s">
        <v>263</v>
      </c>
      <c r="L124" s="654" t="s">
        <v>236</v>
      </c>
      <c r="M124" s="654" t="s">
        <v>236</v>
      </c>
      <c r="N124" s="654" t="s">
        <v>236</v>
      </c>
      <c r="O124" s="654" t="s">
        <v>236</v>
      </c>
      <c r="P124" s="654" t="s">
        <v>236</v>
      </c>
      <c r="Q124" s="621" t="s">
        <v>51</v>
      </c>
    </row>
    <row r="125" spans="1:17" ht="21" customHeight="1">
      <c r="A125" s="617"/>
      <c r="B125" s="631"/>
      <c r="C125" s="717"/>
      <c r="D125" s="722"/>
      <c r="E125" s="712"/>
      <c r="F125" s="712"/>
      <c r="G125" s="712"/>
      <c r="H125" s="712"/>
      <c r="I125" s="712"/>
      <c r="J125" s="712"/>
      <c r="K125" s="694"/>
      <c r="L125" s="1146"/>
      <c r="M125" s="1146"/>
      <c r="N125" s="1146"/>
      <c r="O125" s="1146"/>
      <c r="P125" s="1146"/>
      <c r="Q125" s="1141"/>
    </row>
    <row r="126" spans="1:17" ht="24.75" customHeight="1">
      <c r="A126" s="626" t="s">
        <v>111</v>
      </c>
      <c r="B126" s="719" t="s">
        <v>61</v>
      </c>
      <c r="C126" s="717" t="s">
        <v>161</v>
      </c>
      <c r="D126" s="710" t="s">
        <v>6</v>
      </c>
      <c r="E126" s="712">
        <f>SUM(F126:J127)</f>
        <v>483.7</v>
      </c>
      <c r="F126" s="712">
        <v>483.7</v>
      </c>
      <c r="G126" s="712">
        <v>0</v>
      </c>
      <c r="H126" s="712">
        <v>0</v>
      </c>
      <c r="I126" s="712">
        <v>0</v>
      </c>
      <c r="J126" s="712">
        <v>0</v>
      </c>
      <c r="K126" s="638" t="s">
        <v>263</v>
      </c>
      <c r="L126" s="654" t="s">
        <v>236</v>
      </c>
      <c r="M126" s="654" t="s">
        <v>213</v>
      </c>
      <c r="N126" s="654" t="s">
        <v>213</v>
      </c>
      <c r="O126" s="654" t="s">
        <v>213</v>
      </c>
      <c r="P126" s="654" t="s">
        <v>213</v>
      </c>
      <c r="Q126" s="654" t="s">
        <v>51</v>
      </c>
    </row>
    <row r="127" spans="1:17" ht="13.5" customHeight="1">
      <c r="A127" s="626"/>
      <c r="B127" s="719"/>
      <c r="C127" s="717"/>
      <c r="D127" s="714"/>
      <c r="E127" s="713"/>
      <c r="F127" s="713"/>
      <c r="G127" s="713"/>
      <c r="H127" s="713"/>
      <c r="I127" s="713"/>
      <c r="J127" s="713"/>
      <c r="K127" s="694"/>
      <c r="L127" s="1146"/>
      <c r="M127" s="1146"/>
      <c r="N127" s="1146"/>
      <c r="O127" s="1146"/>
      <c r="P127" s="1146"/>
      <c r="Q127" s="654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612" t="s">
        <v>113</v>
      </c>
      <c r="B129" s="630" t="s">
        <v>60</v>
      </c>
      <c r="C129" s="732" t="s">
        <v>161</v>
      </c>
      <c r="D129" s="759" t="s">
        <v>249</v>
      </c>
      <c r="E129" s="1147">
        <f>SUM(F129:J131)</f>
        <v>56647.7</v>
      </c>
      <c r="F129" s="741">
        <f>F132+F133</f>
        <v>13374.299999999997</v>
      </c>
      <c r="G129" s="741">
        <f>G132+G133</f>
        <v>11099.699999999999</v>
      </c>
      <c r="H129" s="741">
        <f>H132+H133</f>
        <v>9657.9</v>
      </c>
      <c r="I129" s="741">
        <f>I132+I133</f>
        <v>11257.9</v>
      </c>
      <c r="J129" s="741">
        <f>J132+J133</f>
        <v>11257.9</v>
      </c>
      <c r="K129" s="630" t="s">
        <v>268</v>
      </c>
      <c r="L129" s="865" t="s">
        <v>269</v>
      </c>
      <c r="M129" s="865" t="s">
        <v>269</v>
      </c>
      <c r="N129" s="865" t="s">
        <v>270</v>
      </c>
      <c r="O129" s="865" t="s">
        <v>270</v>
      </c>
      <c r="P129" s="865" t="s">
        <v>270</v>
      </c>
      <c r="Q129" s="612"/>
    </row>
    <row r="130" spans="1:17" ht="24" customHeight="1">
      <c r="A130" s="617"/>
      <c r="B130" s="631"/>
      <c r="C130" s="664"/>
      <c r="D130" s="760"/>
      <c r="E130" s="1125"/>
      <c r="F130" s="742"/>
      <c r="G130" s="742"/>
      <c r="H130" s="742"/>
      <c r="I130" s="742"/>
      <c r="J130" s="742"/>
      <c r="K130" s="631"/>
      <c r="L130" s="866"/>
      <c r="M130" s="866"/>
      <c r="N130" s="866"/>
      <c r="O130" s="866"/>
      <c r="P130" s="866"/>
      <c r="Q130" s="617"/>
    </row>
    <row r="131" spans="1:17" ht="9.75" customHeight="1">
      <c r="A131" s="617"/>
      <c r="B131" s="631"/>
      <c r="C131" s="664"/>
      <c r="D131" s="761"/>
      <c r="E131" s="1125"/>
      <c r="F131" s="742"/>
      <c r="G131" s="742"/>
      <c r="H131" s="742"/>
      <c r="I131" s="742"/>
      <c r="J131" s="742"/>
      <c r="K131" s="631"/>
      <c r="L131" s="866"/>
      <c r="M131" s="866"/>
      <c r="N131" s="866"/>
      <c r="O131" s="866"/>
      <c r="P131" s="866"/>
      <c r="Q131" s="617"/>
    </row>
    <row r="132" spans="1:17" ht="9.75" customHeight="1">
      <c r="A132" s="613"/>
      <c r="B132" s="745"/>
      <c r="C132" s="682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745"/>
      <c r="L132" s="866"/>
      <c r="M132" s="866"/>
      <c r="N132" s="866"/>
      <c r="O132" s="866"/>
      <c r="P132" s="866"/>
      <c r="Q132" s="613"/>
    </row>
    <row r="133" spans="1:17" ht="9.75" customHeight="1">
      <c r="A133" s="614"/>
      <c r="B133" s="737"/>
      <c r="C133" s="738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737"/>
      <c r="L133" s="867"/>
      <c r="M133" s="867"/>
      <c r="N133" s="867"/>
      <c r="O133" s="867"/>
      <c r="P133" s="867"/>
      <c r="Q133" s="614"/>
    </row>
    <row r="134" spans="1:17" ht="24" customHeight="1">
      <c r="A134" s="612" t="s">
        <v>98</v>
      </c>
      <c r="B134" s="630" t="s">
        <v>114</v>
      </c>
      <c r="C134" s="732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638" t="s">
        <v>267</v>
      </c>
      <c r="L134" s="865" t="s">
        <v>236</v>
      </c>
      <c r="M134" s="865" t="s">
        <v>236</v>
      </c>
      <c r="N134" s="865" t="s">
        <v>236</v>
      </c>
      <c r="O134" s="865" t="s">
        <v>236</v>
      </c>
      <c r="P134" s="865" t="s">
        <v>236</v>
      </c>
      <c r="Q134" s="654" t="s">
        <v>142</v>
      </c>
    </row>
    <row r="135" spans="1:17" ht="21" customHeight="1">
      <c r="A135" s="613"/>
      <c r="B135" s="745"/>
      <c r="C135" s="682"/>
      <c r="D135" s="710" t="s">
        <v>5</v>
      </c>
      <c r="E135" s="712">
        <f>SUM(F135:J136)</f>
        <v>48549.59999999999</v>
      </c>
      <c r="F135" s="708">
        <f>10904.3-89.1-29.7+1056.9</f>
        <v>11842.399999999998</v>
      </c>
      <c r="G135" s="708">
        <v>9551.8</v>
      </c>
      <c r="H135" s="708">
        <v>8051.8</v>
      </c>
      <c r="I135" s="708">
        <v>9551.8</v>
      </c>
      <c r="J135" s="708">
        <v>9551.8</v>
      </c>
      <c r="K135" s="720"/>
      <c r="L135" s="866"/>
      <c r="M135" s="866"/>
      <c r="N135" s="866"/>
      <c r="O135" s="866"/>
      <c r="P135" s="866"/>
      <c r="Q135" s="747"/>
    </row>
    <row r="136" spans="1:17" ht="5.25" customHeight="1">
      <c r="A136" s="614"/>
      <c r="B136" s="737"/>
      <c r="C136" s="738"/>
      <c r="D136" s="714"/>
      <c r="E136" s="713"/>
      <c r="F136" s="709"/>
      <c r="G136" s="709"/>
      <c r="H136" s="709"/>
      <c r="I136" s="709"/>
      <c r="J136" s="709"/>
      <c r="K136" s="720"/>
      <c r="L136" s="867"/>
      <c r="M136" s="867"/>
      <c r="N136" s="867"/>
      <c r="O136" s="867"/>
      <c r="P136" s="867"/>
      <c r="Q136" s="747"/>
    </row>
    <row r="137" spans="1:17" ht="25.5" customHeight="1">
      <c r="A137" s="626" t="s">
        <v>115</v>
      </c>
      <c r="B137" s="719" t="s">
        <v>67</v>
      </c>
      <c r="C137" s="732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627" t="s">
        <v>264</v>
      </c>
      <c r="L137" s="621" t="s">
        <v>236</v>
      </c>
      <c r="M137" s="621" t="s">
        <v>236</v>
      </c>
      <c r="N137" s="621" t="s">
        <v>236</v>
      </c>
      <c r="O137" s="621" t="s">
        <v>236</v>
      </c>
      <c r="P137" s="621" t="s">
        <v>236</v>
      </c>
      <c r="Q137" s="621" t="s">
        <v>142</v>
      </c>
    </row>
    <row r="138" spans="1:17" ht="16.5" customHeight="1">
      <c r="A138" s="744"/>
      <c r="B138" s="1148"/>
      <c r="C138" s="682"/>
      <c r="D138" s="710" t="s">
        <v>6</v>
      </c>
      <c r="E138" s="690">
        <f>SUM(F138:J141)</f>
        <v>8098.1</v>
      </c>
      <c r="F138" s="690">
        <v>1531.9</v>
      </c>
      <c r="G138" s="690">
        <v>1547.9</v>
      </c>
      <c r="H138" s="690">
        <v>1606.1</v>
      </c>
      <c r="I138" s="690">
        <v>1706.1</v>
      </c>
      <c r="J138" s="690">
        <v>1706.1</v>
      </c>
      <c r="K138" s="723"/>
      <c r="L138" s="1149"/>
      <c r="M138" s="1149"/>
      <c r="N138" s="1149"/>
      <c r="O138" s="1149"/>
      <c r="P138" s="1149"/>
      <c r="Q138" s="622"/>
    </row>
    <row r="139" spans="1:17" ht="11.25" customHeight="1">
      <c r="A139" s="744"/>
      <c r="B139" s="1148"/>
      <c r="C139" s="682"/>
      <c r="D139" s="688"/>
      <c r="E139" s="690"/>
      <c r="F139" s="690"/>
      <c r="G139" s="690"/>
      <c r="H139" s="690"/>
      <c r="I139" s="690"/>
      <c r="J139" s="690"/>
      <c r="K139" s="723"/>
      <c r="L139" s="1149"/>
      <c r="M139" s="1149"/>
      <c r="N139" s="1149"/>
      <c r="O139" s="1149"/>
      <c r="P139" s="1149"/>
      <c r="Q139" s="622"/>
    </row>
    <row r="140" spans="1:17" ht="10.5" customHeight="1">
      <c r="A140" s="744"/>
      <c r="B140" s="1148"/>
      <c r="C140" s="682"/>
      <c r="D140" s="688"/>
      <c r="E140" s="690"/>
      <c r="F140" s="690"/>
      <c r="G140" s="690"/>
      <c r="H140" s="690"/>
      <c r="I140" s="690"/>
      <c r="J140" s="690"/>
      <c r="K140" s="723"/>
      <c r="L140" s="1149"/>
      <c r="M140" s="1149"/>
      <c r="N140" s="1149"/>
      <c r="O140" s="1149"/>
      <c r="P140" s="1149"/>
      <c r="Q140" s="622"/>
    </row>
    <row r="141" spans="1:17" ht="12.75" customHeight="1" hidden="1">
      <c r="A141" s="744"/>
      <c r="B141" s="1148"/>
      <c r="C141" s="682"/>
      <c r="D141" s="758"/>
      <c r="E141" s="690"/>
      <c r="F141" s="690"/>
      <c r="G141" s="690"/>
      <c r="H141" s="690"/>
      <c r="I141" s="690"/>
      <c r="J141" s="690"/>
      <c r="K141" s="724"/>
      <c r="L141" s="1150"/>
      <c r="M141" s="1150"/>
      <c r="N141" s="1150"/>
      <c r="O141" s="1150"/>
      <c r="P141" s="1150"/>
      <c r="Q141" s="653"/>
    </row>
    <row r="142" spans="1:17" ht="12" customHeight="1">
      <c r="A142" s="679"/>
      <c r="B142" s="681" t="s">
        <v>49</v>
      </c>
      <c r="C142" s="679"/>
      <c r="D142" s="33" t="s">
        <v>11</v>
      </c>
      <c r="E142" s="703">
        <f aca="true" t="shared" si="33" ref="E142:J142">SUM(E144:E145)</f>
        <v>773573.9</v>
      </c>
      <c r="F142" s="703">
        <f t="shared" si="33"/>
        <v>159427.1</v>
      </c>
      <c r="G142" s="703">
        <f t="shared" si="33"/>
        <v>147878.2</v>
      </c>
      <c r="H142" s="703">
        <f t="shared" si="33"/>
        <v>146586</v>
      </c>
      <c r="I142" s="703">
        <f t="shared" si="33"/>
        <v>159841.30000000002</v>
      </c>
      <c r="J142" s="703">
        <f t="shared" si="33"/>
        <v>159841.30000000002</v>
      </c>
      <c r="K142" s="693"/>
      <c r="L142" s="1151"/>
      <c r="M142" s="1151"/>
      <c r="N142" s="1151"/>
      <c r="O142" s="1151"/>
      <c r="P142" s="1151"/>
      <c r="Q142" s="679"/>
    </row>
    <row r="143" spans="1:17" ht="12" customHeight="1">
      <c r="A143" s="679"/>
      <c r="B143" s="681"/>
      <c r="C143" s="679"/>
      <c r="D143" s="33" t="s">
        <v>12</v>
      </c>
      <c r="E143" s="703"/>
      <c r="F143" s="703"/>
      <c r="G143" s="703"/>
      <c r="H143" s="703"/>
      <c r="I143" s="703"/>
      <c r="J143" s="703"/>
      <c r="K143" s="693"/>
      <c r="L143" s="689"/>
      <c r="M143" s="689"/>
      <c r="N143" s="689"/>
      <c r="O143" s="689"/>
      <c r="P143" s="689"/>
      <c r="Q143" s="679"/>
    </row>
    <row r="144" spans="1:17" ht="12" customHeight="1">
      <c r="A144" s="679"/>
      <c r="B144" s="681"/>
      <c r="C144" s="679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693"/>
      <c r="L144" s="689"/>
      <c r="M144" s="689"/>
      <c r="N144" s="689"/>
      <c r="O144" s="689"/>
      <c r="P144" s="689"/>
      <c r="Q144" s="679"/>
    </row>
    <row r="145" spans="1:17" ht="12" customHeight="1">
      <c r="A145" s="679"/>
      <c r="B145" s="681"/>
      <c r="C145" s="679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693"/>
      <c r="L145" s="689"/>
      <c r="M145" s="689"/>
      <c r="N145" s="689"/>
      <c r="O145" s="689"/>
      <c r="P145" s="689"/>
      <c r="Q145" s="679"/>
    </row>
    <row r="146" spans="1:17" ht="15" customHeight="1">
      <c r="A146" s="97" t="s">
        <v>116</v>
      </c>
      <c r="B146" s="1152" t="s">
        <v>117</v>
      </c>
      <c r="C146" s="1153"/>
      <c r="D146" s="1153"/>
      <c r="E146" s="1153"/>
      <c r="F146" s="1153"/>
      <c r="G146" s="1153"/>
      <c r="H146" s="1153"/>
      <c r="I146" s="1153"/>
      <c r="J146" s="1153"/>
      <c r="K146" s="1153"/>
      <c r="L146" s="1153"/>
      <c r="M146" s="1153"/>
      <c r="N146" s="1153"/>
      <c r="O146" s="1153"/>
      <c r="P146" s="1153"/>
      <c r="Q146" s="1154"/>
    </row>
    <row r="147" spans="1:17" ht="52.5" customHeight="1">
      <c r="A147" s="168" t="s">
        <v>118</v>
      </c>
      <c r="B147" s="172" t="s">
        <v>71</v>
      </c>
      <c r="C147" s="679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627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621" t="s">
        <v>51</v>
      </c>
    </row>
    <row r="148" spans="1:17" ht="48" customHeight="1">
      <c r="A148" s="843" t="s">
        <v>287</v>
      </c>
      <c r="B148" s="1155" t="s">
        <v>286</v>
      </c>
      <c r="C148" s="721"/>
      <c r="D148" s="689" t="s">
        <v>6</v>
      </c>
      <c r="E148" s="690">
        <f>SUM(F148:J149)</f>
        <v>601.7</v>
      </c>
      <c r="F148" s="712">
        <v>98.5</v>
      </c>
      <c r="G148" s="712">
        <f>136.6-0.4</f>
        <v>136.2</v>
      </c>
      <c r="H148" s="601">
        <v>130</v>
      </c>
      <c r="I148" s="601">
        <v>118.5</v>
      </c>
      <c r="J148" s="601">
        <v>118.5</v>
      </c>
      <c r="K148" s="723"/>
      <c r="L148" s="727">
        <v>100</v>
      </c>
      <c r="M148" s="727">
        <v>100</v>
      </c>
      <c r="N148" s="727">
        <v>100</v>
      </c>
      <c r="O148" s="727">
        <v>100</v>
      </c>
      <c r="P148" s="727">
        <v>100</v>
      </c>
      <c r="Q148" s="706"/>
    </row>
    <row r="149" spans="1:17" ht="11.25" customHeight="1">
      <c r="A149" s="744"/>
      <c r="B149" s="720"/>
      <c r="C149" s="721"/>
      <c r="D149" s="689"/>
      <c r="E149" s="689"/>
      <c r="F149" s="712"/>
      <c r="G149" s="712"/>
      <c r="H149" s="601"/>
      <c r="I149" s="601"/>
      <c r="J149" s="601"/>
      <c r="K149" s="723"/>
      <c r="L149" s="728"/>
      <c r="M149" s="728"/>
      <c r="N149" s="728"/>
      <c r="O149" s="728"/>
      <c r="P149" s="728"/>
      <c r="Q149" s="706"/>
    </row>
    <row r="150" spans="1:17" ht="21" customHeight="1">
      <c r="A150" s="146" t="s">
        <v>288</v>
      </c>
      <c r="B150" s="172" t="s">
        <v>204</v>
      </c>
      <c r="C150" s="721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724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707"/>
    </row>
    <row r="151" spans="1:17" ht="21" customHeight="1">
      <c r="A151" s="612" t="s">
        <v>119</v>
      </c>
      <c r="B151" s="630" t="s">
        <v>70</v>
      </c>
      <c r="C151" s="732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627" t="s">
        <v>274</v>
      </c>
      <c r="L151" s="621" t="s">
        <v>275</v>
      </c>
      <c r="M151" s="621" t="s">
        <v>275</v>
      </c>
      <c r="N151" s="621" t="s">
        <v>275</v>
      </c>
      <c r="O151" s="621" t="s">
        <v>275</v>
      </c>
      <c r="P151" s="621" t="s">
        <v>275</v>
      </c>
      <c r="Q151" s="621" t="s">
        <v>51</v>
      </c>
    </row>
    <row r="152" spans="1:17" ht="15.75" customHeight="1">
      <c r="A152" s="673"/>
      <c r="B152" s="745"/>
      <c r="C152" s="687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723"/>
      <c r="L152" s="1141"/>
      <c r="M152" s="1141"/>
      <c r="N152" s="1141"/>
      <c r="O152" s="1141"/>
      <c r="P152" s="1141"/>
      <c r="Q152" s="622"/>
    </row>
    <row r="153" spans="1:17" ht="21" customHeight="1">
      <c r="A153" s="674"/>
      <c r="B153" s="737"/>
      <c r="C153" s="733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724"/>
      <c r="L153" s="625"/>
      <c r="M153" s="625"/>
      <c r="N153" s="625"/>
      <c r="O153" s="625"/>
      <c r="P153" s="625"/>
      <c r="Q153" s="653"/>
    </row>
    <row r="154" spans="1:17" ht="14.25" customHeight="1">
      <c r="A154" s="612" t="s">
        <v>120</v>
      </c>
      <c r="B154" s="630" t="s">
        <v>133</v>
      </c>
      <c r="C154" s="732" t="s">
        <v>161</v>
      </c>
      <c r="D154" s="759" t="s">
        <v>221</v>
      </c>
      <c r="E154" s="1156">
        <f aca="true" t="shared" si="35" ref="E154:J154">SUM(E158,E164)</f>
        <v>715.4</v>
      </c>
      <c r="F154" s="1156">
        <f t="shared" si="35"/>
        <v>607.4</v>
      </c>
      <c r="G154" s="1156">
        <f t="shared" si="35"/>
        <v>27</v>
      </c>
      <c r="H154" s="1156">
        <f t="shared" si="35"/>
        <v>27</v>
      </c>
      <c r="I154" s="1156">
        <f t="shared" si="35"/>
        <v>27</v>
      </c>
      <c r="J154" s="1156">
        <f t="shared" si="35"/>
        <v>27</v>
      </c>
      <c r="K154" s="627" t="s">
        <v>263</v>
      </c>
      <c r="L154" s="621" t="s">
        <v>236</v>
      </c>
      <c r="M154" s="621" t="s">
        <v>236</v>
      </c>
      <c r="N154" s="621" t="s">
        <v>236</v>
      </c>
      <c r="O154" s="621" t="s">
        <v>236</v>
      </c>
      <c r="P154" s="621" t="s">
        <v>236</v>
      </c>
      <c r="Q154" s="621" t="s">
        <v>51</v>
      </c>
    </row>
    <row r="155" spans="1:17" ht="11.25" customHeight="1">
      <c r="A155" s="617"/>
      <c r="B155" s="631"/>
      <c r="C155" s="664"/>
      <c r="D155" s="761"/>
      <c r="E155" s="1156"/>
      <c r="F155" s="1156"/>
      <c r="G155" s="1156"/>
      <c r="H155" s="1156"/>
      <c r="I155" s="1156"/>
      <c r="J155" s="1156"/>
      <c r="K155" s="1145"/>
      <c r="L155" s="1141"/>
      <c r="M155" s="1141"/>
      <c r="N155" s="1141"/>
      <c r="O155" s="1141"/>
      <c r="P155" s="1141"/>
      <c r="Q155" s="1141"/>
    </row>
    <row r="156" spans="1:17" ht="11.25" customHeight="1">
      <c r="A156" s="614"/>
      <c r="B156" s="737"/>
      <c r="C156" s="738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724"/>
      <c r="L156" s="625"/>
      <c r="M156" s="625"/>
      <c r="N156" s="625"/>
      <c r="O156" s="625"/>
      <c r="P156" s="625"/>
      <c r="Q156" s="653"/>
    </row>
    <row r="157" spans="1:17" ht="21" customHeight="1">
      <c r="A157" s="612" t="s">
        <v>121</v>
      </c>
      <c r="B157" s="630" t="s">
        <v>68</v>
      </c>
      <c r="C157" s="732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627" t="s">
        <v>279</v>
      </c>
      <c r="L157" s="1157" t="s">
        <v>276</v>
      </c>
      <c r="M157" s="1157" t="s">
        <v>277</v>
      </c>
      <c r="N157" s="1157" t="s">
        <v>278</v>
      </c>
      <c r="O157" s="1157" t="s">
        <v>278</v>
      </c>
      <c r="P157" s="1157" t="s">
        <v>278</v>
      </c>
      <c r="Q157" s="621" t="s">
        <v>51</v>
      </c>
    </row>
    <row r="158" spans="1:17" ht="21" customHeight="1">
      <c r="A158" s="613"/>
      <c r="B158" s="745"/>
      <c r="C158" s="682"/>
      <c r="D158" s="710" t="s">
        <v>5</v>
      </c>
      <c r="E158" s="708">
        <f>SUM(F158:H159)</f>
        <v>542.4</v>
      </c>
      <c r="F158" s="708">
        <f>250+292.4</f>
        <v>542.4</v>
      </c>
      <c r="G158" s="708">
        <v>0</v>
      </c>
      <c r="H158" s="708">
        <v>0</v>
      </c>
      <c r="I158" s="708">
        <v>0</v>
      </c>
      <c r="J158" s="708">
        <v>0</v>
      </c>
      <c r="K158" s="723"/>
      <c r="L158" s="1141"/>
      <c r="M158" s="1141"/>
      <c r="N158" s="1141"/>
      <c r="O158" s="1141"/>
      <c r="P158" s="1141"/>
      <c r="Q158" s="622"/>
    </row>
    <row r="159" spans="1:17" ht="6.75" customHeight="1">
      <c r="A159" s="614"/>
      <c r="B159" s="737"/>
      <c r="C159" s="738"/>
      <c r="D159" s="714"/>
      <c r="E159" s="709"/>
      <c r="F159" s="709"/>
      <c r="G159" s="709"/>
      <c r="H159" s="709"/>
      <c r="I159" s="709"/>
      <c r="J159" s="709"/>
      <c r="K159" s="724"/>
      <c r="L159" s="625"/>
      <c r="M159" s="625"/>
      <c r="N159" s="625"/>
      <c r="O159" s="625"/>
      <c r="P159" s="625"/>
      <c r="Q159" s="653"/>
    </row>
    <row r="160" spans="1:17" ht="24" customHeight="1">
      <c r="A160" s="612" t="s">
        <v>122</v>
      </c>
      <c r="B160" s="630" t="s">
        <v>153</v>
      </c>
      <c r="C160" s="732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627" t="s">
        <v>281</v>
      </c>
      <c r="L160" s="1157" t="s">
        <v>280</v>
      </c>
      <c r="M160" s="1157" t="s">
        <v>282</v>
      </c>
      <c r="N160" s="1157" t="s">
        <v>283</v>
      </c>
      <c r="O160" s="1157" t="s">
        <v>283</v>
      </c>
      <c r="P160" s="1157" t="s">
        <v>283</v>
      </c>
      <c r="Q160" s="621" t="s">
        <v>51</v>
      </c>
    </row>
    <row r="161" spans="1:17" ht="17.25" customHeight="1">
      <c r="A161" s="613"/>
      <c r="B161" s="745"/>
      <c r="C161" s="682"/>
      <c r="D161" s="710" t="s">
        <v>5</v>
      </c>
      <c r="E161" s="708">
        <f>SUM(F161:H162)</f>
        <v>0</v>
      </c>
      <c r="F161" s="708">
        <f>20-20</f>
        <v>0</v>
      </c>
      <c r="G161" s="708">
        <v>0</v>
      </c>
      <c r="H161" s="708">
        <v>0</v>
      </c>
      <c r="I161" s="708">
        <v>0</v>
      </c>
      <c r="J161" s="708">
        <v>0</v>
      </c>
      <c r="K161" s="723"/>
      <c r="L161" s="1142"/>
      <c r="M161" s="1142"/>
      <c r="N161" s="1142"/>
      <c r="O161" s="1142"/>
      <c r="P161" s="1142"/>
      <c r="Q161" s="622"/>
    </row>
    <row r="162" spans="1:17" ht="12" customHeight="1">
      <c r="A162" s="614"/>
      <c r="B162" s="737"/>
      <c r="C162" s="738"/>
      <c r="D162" s="714"/>
      <c r="E162" s="709"/>
      <c r="F162" s="709"/>
      <c r="G162" s="709"/>
      <c r="H162" s="709"/>
      <c r="I162" s="709"/>
      <c r="J162" s="709"/>
      <c r="K162" s="724"/>
      <c r="L162" s="1143"/>
      <c r="M162" s="1143"/>
      <c r="N162" s="1143"/>
      <c r="O162" s="1143"/>
      <c r="P162" s="1143"/>
      <c r="Q162" s="653"/>
    </row>
    <row r="163" spans="1:17" ht="21.75" customHeight="1">
      <c r="A163" s="612" t="s">
        <v>123</v>
      </c>
      <c r="B163" s="630" t="s">
        <v>69</v>
      </c>
      <c r="C163" s="732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627" t="s">
        <v>284</v>
      </c>
      <c r="L163" s="1157" t="s">
        <v>236</v>
      </c>
      <c r="M163" s="1157" t="s">
        <v>236</v>
      </c>
      <c r="N163" s="1157" t="s">
        <v>236</v>
      </c>
      <c r="O163" s="1157" t="s">
        <v>236</v>
      </c>
      <c r="P163" s="1157" t="s">
        <v>236</v>
      </c>
      <c r="Q163" s="621" t="s">
        <v>51</v>
      </c>
    </row>
    <row r="164" spans="1:17" ht="21.75" customHeight="1">
      <c r="A164" s="613"/>
      <c r="B164" s="745"/>
      <c r="C164" s="682"/>
      <c r="D164" s="710" t="s">
        <v>5</v>
      </c>
      <c r="E164" s="708">
        <f>SUM(F164:J164)</f>
        <v>173</v>
      </c>
      <c r="F164" s="708">
        <v>65</v>
      </c>
      <c r="G164" s="708">
        <v>27</v>
      </c>
      <c r="H164" s="708">
        <v>27</v>
      </c>
      <c r="I164" s="708">
        <v>27</v>
      </c>
      <c r="J164" s="708">
        <v>27</v>
      </c>
      <c r="K164" s="724"/>
      <c r="L164" s="653"/>
      <c r="M164" s="653"/>
      <c r="N164" s="653"/>
      <c r="O164" s="653"/>
      <c r="P164" s="653"/>
      <c r="Q164" s="622"/>
    </row>
    <row r="165" spans="1:17" ht="23.25" customHeight="1" thickBot="1">
      <c r="A165" s="614"/>
      <c r="B165" s="737"/>
      <c r="C165" s="738"/>
      <c r="D165" s="722"/>
      <c r="E165" s="711"/>
      <c r="F165" s="711"/>
      <c r="G165" s="711"/>
      <c r="H165" s="711"/>
      <c r="I165" s="711"/>
      <c r="J165" s="711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653"/>
    </row>
    <row r="166" spans="1:17" ht="12" customHeight="1">
      <c r="A166" s="679"/>
      <c r="B166" s="681" t="s">
        <v>124</v>
      </c>
      <c r="C166" s="717"/>
      <c r="D166" s="36" t="s">
        <v>11</v>
      </c>
      <c r="E166" s="702">
        <f aca="true" t="shared" si="40" ref="E166:J166">SUM(E168:E169)</f>
        <v>13422.399999999998</v>
      </c>
      <c r="F166" s="702">
        <f t="shared" si="40"/>
        <v>3196.6</v>
      </c>
      <c r="G166" s="702">
        <f t="shared" si="40"/>
        <v>3001.1000000000004</v>
      </c>
      <c r="H166" s="704">
        <f t="shared" si="40"/>
        <v>2415.9</v>
      </c>
      <c r="I166" s="704">
        <f t="shared" si="40"/>
        <v>2404.4</v>
      </c>
      <c r="J166" s="704">
        <f t="shared" si="40"/>
        <v>2404.4</v>
      </c>
      <c r="K166" s="1158"/>
      <c r="L166" s="1151"/>
      <c r="M166" s="1151"/>
      <c r="N166" s="1151"/>
      <c r="O166" s="1151"/>
      <c r="P166" s="1151"/>
      <c r="Q166" s="679"/>
    </row>
    <row r="167" spans="1:17" ht="12" customHeight="1">
      <c r="A167" s="679"/>
      <c r="B167" s="681"/>
      <c r="C167" s="717"/>
      <c r="D167" s="37" t="s">
        <v>12</v>
      </c>
      <c r="E167" s="703"/>
      <c r="F167" s="703"/>
      <c r="G167" s="703"/>
      <c r="H167" s="705"/>
      <c r="I167" s="705"/>
      <c r="J167" s="705"/>
      <c r="K167" s="1119"/>
      <c r="L167" s="689"/>
      <c r="M167" s="689"/>
      <c r="N167" s="689"/>
      <c r="O167" s="689"/>
      <c r="P167" s="689"/>
      <c r="Q167" s="679"/>
    </row>
    <row r="168" spans="1:17" ht="12" customHeight="1">
      <c r="A168" s="679"/>
      <c r="B168" s="681"/>
      <c r="C168" s="717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119"/>
      <c r="L168" s="689"/>
      <c r="M168" s="689"/>
      <c r="N168" s="689"/>
      <c r="O168" s="689"/>
      <c r="P168" s="689"/>
      <c r="Q168" s="679"/>
    </row>
    <row r="169" spans="1:17" ht="12" customHeight="1" thickBot="1">
      <c r="A169" s="679"/>
      <c r="B169" s="681"/>
      <c r="C169" s="717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159"/>
      <c r="L169" s="689"/>
      <c r="M169" s="689"/>
      <c r="N169" s="689"/>
      <c r="O169" s="689"/>
      <c r="P169" s="689"/>
      <c r="Q169" s="679"/>
    </row>
    <row r="170" spans="1:17" ht="15.75" customHeight="1">
      <c r="A170" s="717"/>
      <c r="B170" s="982" t="s">
        <v>13</v>
      </c>
      <c r="C170" s="984"/>
      <c r="D170" s="1162" t="s">
        <v>220</v>
      </c>
      <c r="E170" s="1164">
        <f aca="true" t="shared" si="41" ref="E170:J170">SUM(E172:E173)</f>
        <v>802469.6</v>
      </c>
      <c r="F170" s="1165">
        <f t="shared" si="41"/>
        <v>173578.2</v>
      </c>
      <c r="G170" s="1164">
        <f>SUM(G172:G173)</f>
        <v>154213.1</v>
      </c>
      <c r="H170" s="1166">
        <f t="shared" si="41"/>
        <v>149396.9</v>
      </c>
      <c r="I170" s="1166">
        <f t="shared" si="41"/>
        <v>162640.7</v>
      </c>
      <c r="J170" s="1166">
        <f t="shared" si="41"/>
        <v>162640.7</v>
      </c>
      <c r="K170" s="691"/>
      <c r="L170" s="689"/>
      <c r="M170" s="689"/>
      <c r="N170" s="689"/>
      <c r="O170" s="689"/>
      <c r="P170" s="689"/>
      <c r="Q170" s="679"/>
    </row>
    <row r="171" spans="1:17" ht="15.75" customHeight="1" thickBot="1">
      <c r="A171" s="717"/>
      <c r="B171" s="983"/>
      <c r="C171" s="985"/>
      <c r="D171" s="1163"/>
      <c r="E171" s="1164"/>
      <c r="F171" s="1165"/>
      <c r="G171" s="1164"/>
      <c r="H171" s="1166"/>
      <c r="I171" s="1166"/>
      <c r="J171" s="1166"/>
      <c r="K171" s="691"/>
      <c r="L171" s="689"/>
      <c r="M171" s="689"/>
      <c r="N171" s="689"/>
      <c r="O171" s="689"/>
      <c r="P171" s="689"/>
      <c r="Q171" s="679"/>
    </row>
    <row r="172" spans="1:17" ht="15.75" customHeight="1" thickBot="1">
      <c r="A172" s="717"/>
      <c r="B172" s="983"/>
      <c r="C172" s="985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691"/>
      <c r="L172" s="689"/>
      <c r="M172" s="689"/>
      <c r="N172" s="689"/>
      <c r="O172" s="689"/>
      <c r="P172" s="689"/>
      <c r="Q172" s="679"/>
    </row>
    <row r="173" spans="1:17" ht="15.75" customHeight="1" thickBot="1">
      <c r="A173" s="717"/>
      <c r="B173" s="1160"/>
      <c r="C173" s="1161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691"/>
      <c r="L173" s="689"/>
      <c r="M173" s="689"/>
      <c r="N173" s="689"/>
      <c r="O173" s="689"/>
      <c r="P173" s="689"/>
      <c r="Q173" s="679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  <mergeCell ref="G170:G171"/>
    <mergeCell ref="H170:H171"/>
    <mergeCell ref="I170:I171"/>
    <mergeCell ref="J170:J171"/>
    <mergeCell ref="K170:K173"/>
    <mergeCell ref="L170:L173"/>
    <mergeCell ref="A170:A173"/>
    <mergeCell ref="B170:B173"/>
    <mergeCell ref="C170:C173"/>
    <mergeCell ref="D170:D171"/>
    <mergeCell ref="E170:E171"/>
    <mergeCell ref="F170:F171"/>
    <mergeCell ref="H166:H167"/>
    <mergeCell ref="I166:I167"/>
    <mergeCell ref="J166:J167"/>
    <mergeCell ref="K166:K169"/>
    <mergeCell ref="L166:L169"/>
    <mergeCell ref="M166:M169"/>
    <mergeCell ref="A166:A169"/>
    <mergeCell ref="B166:B169"/>
    <mergeCell ref="C166:C169"/>
    <mergeCell ref="E166:E167"/>
    <mergeCell ref="F166:F167"/>
    <mergeCell ref="G166:G167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3:A165"/>
    <mergeCell ref="B163:B165"/>
    <mergeCell ref="C163:C165"/>
    <mergeCell ref="K163:K164"/>
    <mergeCell ref="L163:L164"/>
    <mergeCell ref="M163:M164"/>
    <mergeCell ref="J164:J165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0:A162"/>
    <mergeCell ref="B160:B162"/>
    <mergeCell ref="C160:C162"/>
    <mergeCell ref="K160:K162"/>
    <mergeCell ref="L160:L162"/>
    <mergeCell ref="M160:M162"/>
    <mergeCell ref="J161:J162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57:A159"/>
    <mergeCell ref="B157:B159"/>
    <mergeCell ref="C157:C159"/>
    <mergeCell ref="K157:K159"/>
    <mergeCell ref="L157:L159"/>
    <mergeCell ref="M157:M159"/>
    <mergeCell ref="J158:J159"/>
    <mergeCell ref="L154:L156"/>
    <mergeCell ref="M154:M156"/>
    <mergeCell ref="N154:N156"/>
    <mergeCell ref="O154:O156"/>
    <mergeCell ref="P154:P156"/>
    <mergeCell ref="Q154:Q156"/>
    <mergeCell ref="F154:F155"/>
    <mergeCell ref="G154:G155"/>
    <mergeCell ref="H154:H155"/>
    <mergeCell ref="I154:I155"/>
    <mergeCell ref="J154:J155"/>
    <mergeCell ref="K154:K156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A148:A149"/>
    <mergeCell ref="B148:B149"/>
    <mergeCell ref="D148:D149"/>
    <mergeCell ref="E148:E149"/>
    <mergeCell ref="F148:F149"/>
    <mergeCell ref="G148:G149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I142:I143"/>
    <mergeCell ref="J142:J143"/>
    <mergeCell ref="K142:K145"/>
    <mergeCell ref="L142:L145"/>
    <mergeCell ref="M142:M145"/>
    <mergeCell ref="N142:N145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L137:L141"/>
    <mergeCell ref="M137:M141"/>
    <mergeCell ref="N137:N141"/>
    <mergeCell ref="O137:O141"/>
    <mergeCell ref="P137:P141"/>
    <mergeCell ref="Q137:Q141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G129:G131"/>
    <mergeCell ref="H129:H131"/>
    <mergeCell ref="I129:I131"/>
    <mergeCell ref="J129:J131"/>
    <mergeCell ref="K129:K133"/>
    <mergeCell ref="L129:L133"/>
    <mergeCell ref="A129:A133"/>
    <mergeCell ref="B129:B133"/>
    <mergeCell ref="C129:C133"/>
    <mergeCell ref="D129:D131"/>
    <mergeCell ref="E129:E131"/>
    <mergeCell ref="F129:F131"/>
    <mergeCell ref="L126:L127"/>
    <mergeCell ref="M126:M127"/>
    <mergeCell ref="N126:N127"/>
    <mergeCell ref="O126:O127"/>
    <mergeCell ref="P126:P127"/>
    <mergeCell ref="Q126:Q127"/>
    <mergeCell ref="F126:F127"/>
    <mergeCell ref="G126:G127"/>
    <mergeCell ref="H126:H127"/>
    <mergeCell ref="I126:I127"/>
    <mergeCell ref="J126:J127"/>
    <mergeCell ref="K126:K127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F124:F125"/>
    <mergeCell ref="L122:L123"/>
    <mergeCell ref="M122:M123"/>
    <mergeCell ref="N122:N123"/>
    <mergeCell ref="O122:O123"/>
    <mergeCell ref="P122:P123"/>
    <mergeCell ref="Q122:Q123"/>
    <mergeCell ref="I120:I121"/>
    <mergeCell ref="J120:J121"/>
    <mergeCell ref="A122:A123"/>
    <mergeCell ref="B122:B123"/>
    <mergeCell ref="C122:C123"/>
    <mergeCell ref="K122:K123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G113:G116"/>
    <mergeCell ref="H113:H116"/>
    <mergeCell ref="I113:I116"/>
    <mergeCell ref="J113:J116"/>
    <mergeCell ref="K113:K118"/>
    <mergeCell ref="L113:L118"/>
    <mergeCell ref="A113:A118"/>
    <mergeCell ref="B113:B118"/>
    <mergeCell ref="C113:C118"/>
    <mergeCell ref="D113:D116"/>
    <mergeCell ref="E113:E116"/>
    <mergeCell ref="F113:F116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A102:A104"/>
    <mergeCell ref="B102:B104"/>
    <mergeCell ref="C102:C104"/>
    <mergeCell ref="K102:K104"/>
    <mergeCell ref="L102:L104"/>
    <mergeCell ref="M102:M104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97:A101"/>
    <mergeCell ref="B97:B101"/>
    <mergeCell ref="C97:C101"/>
    <mergeCell ref="K97:K101"/>
    <mergeCell ref="L97:L101"/>
    <mergeCell ref="M97:M101"/>
    <mergeCell ref="J98:J101"/>
    <mergeCell ref="L94:L96"/>
    <mergeCell ref="M94:M96"/>
    <mergeCell ref="N94:N96"/>
    <mergeCell ref="O94:O96"/>
    <mergeCell ref="P94:P96"/>
    <mergeCell ref="Q94:Q96"/>
    <mergeCell ref="F94:F95"/>
    <mergeCell ref="G94:G95"/>
    <mergeCell ref="H94:H95"/>
    <mergeCell ref="I94:I95"/>
    <mergeCell ref="J94:J95"/>
    <mergeCell ref="K94:K96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G86:G89"/>
    <mergeCell ref="H86:H89"/>
    <mergeCell ref="I86:I89"/>
    <mergeCell ref="J86:J89"/>
    <mergeCell ref="K86:K91"/>
    <mergeCell ref="L86:L91"/>
    <mergeCell ref="A86:A91"/>
    <mergeCell ref="B86:B91"/>
    <mergeCell ref="C86:C91"/>
    <mergeCell ref="D86:D89"/>
    <mergeCell ref="E86:E89"/>
    <mergeCell ref="F86:F89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K81:K84"/>
    <mergeCell ref="L81:L84"/>
    <mergeCell ref="A81:A84"/>
    <mergeCell ref="B81:B84"/>
    <mergeCell ref="C81:C84"/>
    <mergeCell ref="D81:D82"/>
    <mergeCell ref="E81:E82"/>
    <mergeCell ref="F81:F82"/>
    <mergeCell ref="L78:L80"/>
    <mergeCell ref="M78:M80"/>
    <mergeCell ref="N78:N80"/>
    <mergeCell ref="O78:O80"/>
    <mergeCell ref="P78:P80"/>
    <mergeCell ref="Q78:Q80"/>
    <mergeCell ref="I76:I77"/>
    <mergeCell ref="J76:J77"/>
    <mergeCell ref="A78:A80"/>
    <mergeCell ref="B78:B80"/>
    <mergeCell ref="C78:C80"/>
    <mergeCell ref="K78:K80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G69:G72"/>
    <mergeCell ref="H69:H72"/>
    <mergeCell ref="I69:I72"/>
    <mergeCell ref="J69:J72"/>
    <mergeCell ref="K69:K74"/>
    <mergeCell ref="L69:L74"/>
    <mergeCell ref="A69:A74"/>
    <mergeCell ref="B69:B74"/>
    <mergeCell ref="C69:C74"/>
    <mergeCell ref="D69:D72"/>
    <mergeCell ref="E69:E72"/>
    <mergeCell ref="F69:F72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O64:O65"/>
    <mergeCell ref="P64:P65"/>
    <mergeCell ref="H62:H63"/>
    <mergeCell ref="I62:I63"/>
    <mergeCell ref="J62:J63"/>
    <mergeCell ref="O61:O63"/>
    <mergeCell ref="P61:P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G53:G55"/>
    <mergeCell ref="H53:H55"/>
    <mergeCell ref="I53:I55"/>
    <mergeCell ref="J53:J55"/>
    <mergeCell ref="K53:K57"/>
    <mergeCell ref="L53:L57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A44:A46"/>
    <mergeCell ref="B44:B46"/>
    <mergeCell ref="C44:C46"/>
    <mergeCell ref="K44:K46"/>
    <mergeCell ref="A47:A49"/>
    <mergeCell ref="B47:B49"/>
    <mergeCell ref="C47:C49"/>
    <mergeCell ref="K47:K49"/>
    <mergeCell ref="L42:L43"/>
    <mergeCell ref="M42:M43"/>
    <mergeCell ref="N42:N43"/>
    <mergeCell ref="O42:O43"/>
    <mergeCell ref="P42:P43"/>
    <mergeCell ref="Q42:Q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P40:P41"/>
    <mergeCell ref="Q40:Q41"/>
    <mergeCell ref="E40:E41"/>
    <mergeCell ref="F40:F41"/>
    <mergeCell ref="G40:G41"/>
    <mergeCell ref="H40:H41"/>
    <mergeCell ref="I40:I41"/>
    <mergeCell ref="J40:J41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H34:H35"/>
    <mergeCell ref="I34:I35"/>
    <mergeCell ref="J34:J35"/>
    <mergeCell ref="K34:K37"/>
    <mergeCell ref="L34:L37"/>
    <mergeCell ref="M34:M37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K24:K27"/>
    <mergeCell ref="L24:L27"/>
    <mergeCell ref="G22:G23"/>
    <mergeCell ref="H22:H23"/>
    <mergeCell ref="I22:I23"/>
    <mergeCell ref="J22:J23"/>
    <mergeCell ref="A24:A27"/>
    <mergeCell ref="B24:B27"/>
    <mergeCell ref="C24:C27"/>
    <mergeCell ref="D24:D25"/>
    <mergeCell ref="E24:E25"/>
    <mergeCell ref="F24:F25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K14:K17"/>
    <mergeCell ref="L14:L17"/>
    <mergeCell ref="A14:A17"/>
    <mergeCell ref="B14:B17"/>
    <mergeCell ref="C14:C17"/>
    <mergeCell ref="D14:D15"/>
    <mergeCell ref="E14:E15"/>
    <mergeCell ref="F14:F15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2812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71093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608" t="s">
        <v>203</v>
      </c>
      <c r="B1" s="584"/>
      <c r="C1" s="584"/>
      <c r="D1" s="584"/>
      <c r="E1" s="584"/>
      <c r="F1" s="584"/>
      <c r="G1" s="584"/>
      <c r="H1" s="584"/>
      <c r="I1" s="584"/>
      <c r="J1" s="54"/>
      <c r="K1" s="54"/>
      <c r="L1" s="54"/>
    </row>
    <row r="2" spans="1:12" ht="21.75" customHeight="1">
      <c r="A2" s="609" t="s">
        <v>303</v>
      </c>
      <c r="B2" s="585"/>
      <c r="C2" s="585"/>
      <c r="D2" s="585"/>
      <c r="E2" s="585"/>
      <c r="F2" s="585"/>
      <c r="G2" s="585"/>
      <c r="H2" s="585"/>
      <c r="I2" s="585"/>
      <c r="J2" s="54"/>
      <c r="K2" s="54"/>
      <c r="L2" s="54"/>
    </row>
    <row r="3" spans="1:12" ht="26.25" customHeight="1">
      <c r="A3" s="610"/>
      <c r="B3" s="611"/>
      <c r="C3" s="611"/>
      <c r="D3" s="611"/>
      <c r="E3" s="611"/>
      <c r="F3" s="611"/>
      <c r="G3" s="611"/>
      <c r="H3" s="611"/>
      <c r="I3" s="611"/>
      <c r="J3" s="54"/>
      <c r="K3" s="54"/>
      <c r="L3" s="54"/>
    </row>
    <row r="4" spans="1:12" ht="9.75" customHeight="1">
      <c r="A4" s="586"/>
      <c r="B4" s="586"/>
      <c r="C4" s="586"/>
      <c r="D4" s="587" t="s">
        <v>54</v>
      </c>
      <c r="E4" s="587">
        <v>2014</v>
      </c>
      <c r="F4" s="587">
        <v>2015</v>
      </c>
      <c r="G4" s="587">
        <v>2016</v>
      </c>
      <c r="H4" s="587">
        <v>2017</v>
      </c>
      <c r="I4" s="587">
        <v>2018</v>
      </c>
      <c r="J4" s="54"/>
      <c r="K4" s="54"/>
      <c r="L4" s="54"/>
    </row>
    <row r="5" spans="1:9" ht="6.75" customHeight="1">
      <c r="A5" s="586"/>
      <c r="B5" s="586"/>
      <c r="C5" s="586"/>
      <c r="D5" s="587"/>
      <c r="E5" s="587"/>
      <c r="F5" s="587"/>
      <c r="G5" s="587"/>
      <c r="H5" s="587"/>
      <c r="I5" s="587"/>
    </row>
    <row r="6" spans="1:12" ht="15" customHeight="1">
      <c r="A6" s="593" t="s">
        <v>52</v>
      </c>
      <c r="B6" s="594"/>
      <c r="C6" s="594"/>
      <c r="D6" s="594"/>
      <c r="E6" s="594"/>
      <c r="F6" s="594"/>
      <c r="G6" s="595"/>
      <c r="H6" s="55"/>
      <c r="I6" s="55"/>
      <c r="J6" s="55"/>
      <c r="K6" s="55"/>
      <c r="L6" s="55"/>
    </row>
    <row r="7" spans="1:12" s="11" customFormat="1" ht="15" customHeight="1">
      <c r="A7" s="600">
        <v>2</v>
      </c>
      <c r="B7" s="601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600"/>
      <c r="B8" s="601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600"/>
      <c r="B9" s="601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602" t="s">
        <v>53</v>
      </c>
      <c r="B10" s="603"/>
      <c r="C10" s="603"/>
      <c r="D10" s="603"/>
      <c r="E10" s="603"/>
      <c r="F10" s="603"/>
      <c r="G10" s="604"/>
      <c r="H10" s="55"/>
      <c r="I10" s="55"/>
      <c r="J10" s="55"/>
      <c r="K10" s="55"/>
      <c r="L10" s="55"/>
    </row>
    <row r="11" spans="1:12" s="11" customFormat="1" ht="14.25" customHeight="1">
      <c r="A11" s="600">
        <v>3</v>
      </c>
      <c r="B11" s="601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600"/>
      <c r="B12" s="601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602" t="s">
        <v>55</v>
      </c>
      <c r="B13" s="603"/>
      <c r="C13" s="603"/>
      <c r="D13" s="603"/>
      <c r="E13" s="603"/>
      <c r="F13" s="603"/>
      <c r="G13" s="604"/>
    </row>
    <row r="14" spans="1:12" s="11" customFormat="1" ht="13.5" customHeight="1">
      <c r="A14" s="600">
        <v>4</v>
      </c>
      <c r="B14" s="601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600"/>
      <c r="B15" s="601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600"/>
      <c r="B16" s="601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602" t="s">
        <v>56</v>
      </c>
      <c r="B17" s="603"/>
      <c r="C17" s="603"/>
      <c r="D17" s="603"/>
      <c r="E17" s="603"/>
      <c r="F17" s="603"/>
      <c r="G17" s="604"/>
    </row>
    <row r="18" spans="1:12" s="11" customFormat="1" ht="13.5" customHeight="1">
      <c r="A18" s="600">
        <v>5</v>
      </c>
      <c r="B18" s="601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600"/>
      <c r="B19" s="601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605"/>
      <c r="B20" s="606"/>
      <c r="C20" s="606"/>
      <c r="D20" s="606"/>
      <c r="E20" s="606"/>
      <c r="F20" s="606"/>
      <c r="G20" s="607"/>
      <c r="H20" s="56"/>
      <c r="I20" s="56"/>
      <c r="J20" s="56"/>
      <c r="K20" s="56"/>
      <c r="L20" s="56"/>
    </row>
    <row r="21" spans="1:9" s="62" customFormat="1" ht="27.75" customHeight="1">
      <c r="A21" s="599" t="s">
        <v>150</v>
      </c>
      <c r="B21" s="599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599"/>
      <c r="B22" s="599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599"/>
      <c r="B23" s="599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602" t="s">
        <v>151</v>
      </c>
      <c r="B24" s="603"/>
      <c r="C24" s="603"/>
      <c r="D24" s="603"/>
      <c r="E24" s="603"/>
      <c r="F24" s="603"/>
      <c r="G24" s="604"/>
    </row>
    <row r="25" spans="1:12" s="11" customFormat="1" ht="13.5" customHeight="1">
      <c r="A25" s="600">
        <v>6</v>
      </c>
      <c r="B25" s="601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600"/>
      <c r="B26" s="601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600"/>
      <c r="B27" s="601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602" t="s">
        <v>152</v>
      </c>
      <c r="B28" s="603"/>
      <c r="C28" s="603"/>
      <c r="D28" s="603"/>
      <c r="E28" s="603"/>
      <c r="F28" s="603"/>
      <c r="G28" s="604"/>
    </row>
    <row r="29" spans="1:12" s="11" customFormat="1" ht="13.5" customHeight="1">
      <c r="A29" s="600">
        <v>7</v>
      </c>
      <c r="B29" s="601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600"/>
      <c r="B30" s="601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602" t="s">
        <v>154</v>
      </c>
      <c r="B31" s="603"/>
      <c r="C31" s="603"/>
      <c r="D31" s="603"/>
      <c r="E31" s="603"/>
      <c r="F31" s="603"/>
      <c r="G31" s="604"/>
    </row>
    <row r="32" spans="1:12" s="11" customFormat="1" ht="13.5" customHeight="1">
      <c r="A32" s="600">
        <v>8</v>
      </c>
      <c r="B32" s="601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600"/>
      <c r="B33" s="601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597" t="s">
        <v>134</v>
      </c>
      <c r="B35" s="598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597"/>
      <c r="B36" s="598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597"/>
      <c r="B37" s="598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  <mergeCell ref="A28:G28"/>
    <mergeCell ref="A7:A9"/>
    <mergeCell ref="A17:G17"/>
    <mergeCell ref="A11:A12"/>
    <mergeCell ref="B11:B12"/>
    <mergeCell ref="A10:G10"/>
    <mergeCell ref="A24:G24"/>
    <mergeCell ref="A4:C5"/>
    <mergeCell ref="D4:D5"/>
    <mergeCell ref="F4:F5"/>
    <mergeCell ref="G4:G5"/>
    <mergeCell ref="A25:A27"/>
    <mergeCell ref="B25:B27"/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49"/>
  <sheetViews>
    <sheetView zoomScale="115" zoomScaleNormal="115" zoomScaleSheetLayoutView="100" workbookViewId="0" topLeftCell="A1">
      <pane ySplit="7" topLeftCell="A20" activePane="bottomLeft" state="frozen"/>
      <selection pane="topLeft" activeCell="A1" sqref="A1"/>
      <selection pane="bottomLeft" activeCell="Q13" sqref="Q13:Q16"/>
    </sheetView>
  </sheetViews>
  <sheetFormatPr defaultColWidth="19.7109375" defaultRowHeight="18.75" customHeight="1"/>
  <cols>
    <col min="1" max="1" width="6.57421875" style="1" customWidth="1"/>
    <col min="2" max="2" width="24.140625" style="1" customWidth="1"/>
    <col min="3" max="3" width="6.28125" style="51" customWidth="1"/>
    <col min="4" max="4" width="6.8515625" style="42" customWidth="1"/>
    <col min="5" max="5" width="8.7109375" style="42" customWidth="1"/>
    <col min="6" max="10" width="7.57421875" style="42" customWidth="1"/>
    <col min="11" max="11" width="34.57421875" style="53" customWidth="1"/>
    <col min="12" max="16" width="5.00390625" style="42" customWidth="1"/>
    <col min="17" max="17" width="19.00390625" style="3" customWidth="1"/>
    <col min="18" max="16384" width="19.71093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683" t="s">
        <v>408</v>
      </c>
      <c r="H1" s="683"/>
      <c r="I1" s="683"/>
      <c r="J1" s="683"/>
      <c r="K1" s="683"/>
      <c r="L1" s="683"/>
      <c r="M1" s="683"/>
      <c r="N1" s="683"/>
      <c r="O1" s="683"/>
      <c r="P1" s="683"/>
      <c r="Q1" s="683"/>
    </row>
    <row r="2" spans="1:17" ht="60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684" t="s">
        <v>449</v>
      </c>
      <c r="L2" s="684"/>
      <c r="M2" s="684"/>
      <c r="N2" s="684"/>
      <c r="O2" s="684"/>
      <c r="P2" s="684"/>
      <c r="Q2" s="684"/>
    </row>
    <row r="3" spans="1:17" ht="28.5" customHeight="1">
      <c r="A3" s="685" t="s">
        <v>422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/>
    </row>
    <row r="5" spans="1:17" s="15" customFormat="1" ht="40.5" customHeight="1">
      <c r="A5" s="667" t="s">
        <v>16</v>
      </c>
      <c r="B5" s="671" t="s">
        <v>15</v>
      </c>
      <c r="C5" s="667" t="s">
        <v>8</v>
      </c>
      <c r="D5" s="667" t="s">
        <v>9</v>
      </c>
      <c r="E5" s="668" t="s">
        <v>410</v>
      </c>
      <c r="F5" s="669"/>
      <c r="G5" s="669"/>
      <c r="H5" s="669"/>
      <c r="I5" s="669"/>
      <c r="J5" s="670"/>
      <c r="K5" s="668" t="s">
        <v>17</v>
      </c>
      <c r="L5" s="669"/>
      <c r="M5" s="669"/>
      <c r="N5" s="669"/>
      <c r="O5" s="669"/>
      <c r="P5" s="670"/>
      <c r="Q5" s="671" t="s">
        <v>14</v>
      </c>
    </row>
    <row r="6" spans="1:17" s="15" customFormat="1" ht="14.25" customHeight="1">
      <c r="A6" s="667"/>
      <c r="B6" s="672"/>
      <c r="C6" s="667"/>
      <c r="D6" s="667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451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672"/>
    </row>
    <row r="7" spans="1:17" s="10" customFormat="1" ht="9.75" customHeight="1">
      <c r="A7" s="333">
        <v>1</v>
      </c>
      <c r="B7" s="333">
        <v>2</v>
      </c>
      <c r="C7" s="333">
        <v>3</v>
      </c>
      <c r="D7" s="333">
        <v>4</v>
      </c>
      <c r="E7" s="333">
        <v>5</v>
      </c>
      <c r="F7" s="333">
        <v>6</v>
      </c>
      <c r="G7" s="333">
        <v>7</v>
      </c>
      <c r="H7" s="333">
        <v>8</v>
      </c>
      <c r="I7" s="333">
        <v>9</v>
      </c>
      <c r="J7" s="333">
        <v>10</v>
      </c>
      <c r="K7" s="333">
        <v>11</v>
      </c>
      <c r="L7" s="333">
        <v>12</v>
      </c>
      <c r="M7" s="333">
        <v>13</v>
      </c>
      <c r="N7" s="333">
        <v>14</v>
      </c>
      <c r="O7" s="333">
        <v>15</v>
      </c>
      <c r="P7" s="333">
        <v>16</v>
      </c>
      <c r="Q7" s="333">
        <v>17</v>
      </c>
    </row>
    <row r="8" spans="1:17" ht="11.25" customHeight="1">
      <c r="A8" s="333"/>
      <c r="B8" s="680" t="s">
        <v>490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</row>
    <row r="9" spans="1:17" ht="10.5" customHeight="1">
      <c r="A9" s="20">
        <v>1</v>
      </c>
      <c r="B9" s="681" t="s">
        <v>477</v>
      </c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</row>
    <row r="10" spans="1:17" ht="25.5" customHeight="1">
      <c r="A10" s="612" t="s">
        <v>19</v>
      </c>
      <c r="B10" s="630" t="s">
        <v>423</v>
      </c>
      <c r="C10" s="439" t="s">
        <v>161</v>
      </c>
      <c r="D10" s="464" t="s">
        <v>424</v>
      </c>
      <c r="E10" s="528">
        <f aca="true" t="shared" si="0" ref="E10:J10">E11+E12</f>
        <v>799146.91</v>
      </c>
      <c r="F10" s="528">
        <f t="shared" si="0"/>
        <v>170311.55</v>
      </c>
      <c r="G10" s="528">
        <f t="shared" si="0"/>
        <v>161242.61</v>
      </c>
      <c r="H10" s="528">
        <f t="shared" si="0"/>
        <v>155864.25</v>
      </c>
      <c r="I10" s="528">
        <f t="shared" si="0"/>
        <v>155864.25</v>
      </c>
      <c r="J10" s="528">
        <f t="shared" si="0"/>
        <v>155864.25</v>
      </c>
      <c r="K10" s="448"/>
      <c r="L10" s="448"/>
      <c r="M10" s="448"/>
      <c r="N10" s="448"/>
      <c r="O10" s="448"/>
      <c r="P10" s="448"/>
      <c r="Q10" s="612"/>
    </row>
    <row r="11" spans="1:17" ht="18" customHeight="1">
      <c r="A11" s="617"/>
      <c r="B11" s="631"/>
      <c r="C11" s="442"/>
      <c r="D11" s="468" t="s">
        <v>5</v>
      </c>
      <c r="E11" s="529">
        <f>SUM(F11:J11)</f>
        <v>260026.14</v>
      </c>
      <c r="F11" s="529">
        <f>F14+F21+F24+F18+F27</f>
        <v>62332.67999999999</v>
      </c>
      <c r="G11" s="529">
        <f>G14+G21+G24+G18+G27</f>
        <v>52495.11</v>
      </c>
      <c r="H11" s="529">
        <f>H14+H21+H24+H18+H27</f>
        <v>48399.45</v>
      </c>
      <c r="I11" s="529">
        <f>I14+I21+I24+I18+I27</f>
        <v>48399.45</v>
      </c>
      <c r="J11" s="529">
        <f>J14+J21+J24+J18+J27</f>
        <v>48399.45</v>
      </c>
      <c r="K11" s="465"/>
      <c r="L11" s="353"/>
      <c r="M11" s="353"/>
      <c r="N11" s="353"/>
      <c r="O11" s="353"/>
      <c r="P11" s="353"/>
      <c r="Q11" s="617"/>
    </row>
    <row r="12" spans="1:17" ht="26.25" customHeight="1">
      <c r="A12" s="617"/>
      <c r="B12" s="631"/>
      <c r="C12" s="442"/>
      <c r="D12" s="466" t="s">
        <v>6</v>
      </c>
      <c r="E12" s="530">
        <f>SUM(F12:J12)</f>
        <v>539120.77</v>
      </c>
      <c r="F12" s="530">
        <f>F15+F22+F25+F29</f>
        <v>107978.87</v>
      </c>
      <c r="G12" s="530">
        <f>G15+G22+G25+G29</f>
        <v>108747.5</v>
      </c>
      <c r="H12" s="530">
        <f>H15+H22+H25+H29</f>
        <v>107464.8</v>
      </c>
      <c r="I12" s="530">
        <f>I15+I22+I25+I29</f>
        <v>107464.8</v>
      </c>
      <c r="J12" s="530">
        <f>J15+J22+J25+J29</f>
        <v>107464.8</v>
      </c>
      <c r="K12" s="467"/>
      <c r="L12" s="445"/>
      <c r="M12" s="445"/>
      <c r="N12" s="445"/>
      <c r="O12" s="445"/>
      <c r="P12" s="445"/>
      <c r="Q12" s="618"/>
    </row>
    <row r="13" spans="1:17" ht="24" customHeight="1">
      <c r="A13" s="682"/>
      <c r="B13" s="447"/>
      <c r="C13" s="439" t="s">
        <v>161</v>
      </c>
      <c r="D13" s="329" t="s">
        <v>424</v>
      </c>
      <c r="E13" s="528">
        <f aca="true" t="shared" si="1" ref="E13:J13">E14+E15</f>
        <v>365410.93999999994</v>
      </c>
      <c r="F13" s="528">
        <f t="shared" si="1"/>
        <v>75909.84</v>
      </c>
      <c r="G13" s="528">
        <f t="shared" si="1"/>
        <v>75399.5</v>
      </c>
      <c r="H13" s="528">
        <f t="shared" si="1"/>
        <v>71367.2</v>
      </c>
      <c r="I13" s="528">
        <f t="shared" si="1"/>
        <v>71367.2</v>
      </c>
      <c r="J13" s="528">
        <f t="shared" si="1"/>
        <v>71367.2</v>
      </c>
      <c r="K13" s="446" t="s">
        <v>425</v>
      </c>
      <c r="L13" s="503" t="s">
        <v>236</v>
      </c>
      <c r="M13" s="503" t="s">
        <v>236</v>
      </c>
      <c r="N13" s="505" t="s">
        <v>236</v>
      </c>
      <c r="O13" s="505" t="s">
        <v>236</v>
      </c>
      <c r="P13" s="505" t="s">
        <v>236</v>
      </c>
      <c r="Q13" s="612" t="s">
        <v>475</v>
      </c>
    </row>
    <row r="14" spans="1:17" ht="56.25" customHeight="1">
      <c r="A14" s="682"/>
      <c r="B14" s="447"/>
      <c r="C14" s="442"/>
      <c r="D14" s="337" t="s">
        <v>5</v>
      </c>
      <c r="E14" s="529">
        <f>SUM(F14:J14)</f>
        <v>131088.41999999998</v>
      </c>
      <c r="F14" s="531">
        <f>28491.43+821.82</f>
        <v>29313.25</v>
      </c>
      <c r="G14" s="529">
        <f>300+26384</f>
        <v>26684</v>
      </c>
      <c r="H14" s="529">
        <f>13056.82+11891.99+50+31.58</f>
        <v>25030.39</v>
      </c>
      <c r="I14" s="529">
        <f>13056.82+11891.99+50+31.58</f>
        <v>25030.39</v>
      </c>
      <c r="J14" s="529">
        <f>13056.82+11891.99+50+31.58</f>
        <v>25030.39</v>
      </c>
      <c r="K14" s="446" t="s">
        <v>426</v>
      </c>
      <c r="L14" s="503" t="s">
        <v>236</v>
      </c>
      <c r="M14" s="503" t="s">
        <v>236</v>
      </c>
      <c r="N14" s="505" t="s">
        <v>236</v>
      </c>
      <c r="O14" s="505" t="s">
        <v>236</v>
      </c>
      <c r="P14" s="505" t="s">
        <v>236</v>
      </c>
      <c r="Q14" s="613"/>
    </row>
    <row r="15" spans="1:17" ht="21.75" customHeight="1">
      <c r="A15" s="330"/>
      <c r="B15" s="447"/>
      <c r="C15" s="442"/>
      <c r="D15" s="337" t="s">
        <v>6</v>
      </c>
      <c r="E15" s="529">
        <f>SUM(F15:J15)</f>
        <v>234322.52</v>
      </c>
      <c r="F15" s="529">
        <f>46596.59</f>
        <v>46596.59</v>
      </c>
      <c r="G15" s="529">
        <f>48759.5-44</f>
        <v>48715.5</v>
      </c>
      <c r="H15" s="529">
        <f>950+600+19560.65+22669.55+13.92+11.39+1392+1139.3</f>
        <v>46336.81</v>
      </c>
      <c r="I15" s="529">
        <f>950+600+19560.65+22669.55+13.92+11.39+1392+1139.3</f>
        <v>46336.81</v>
      </c>
      <c r="J15" s="529">
        <f>950+600+19560.65+22669.55+13.92+11.39+1392+1139.3</f>
        <v>46336.81</v>
      </c>
      <c r="K15" s="446" t="s">
        <v>427</v>
      </c>
      <c r="L15" s="503">
        <v>100</v>
      </c>
      <c r="M15" s="503">
        <v>100</v>
      </c>
      <c r="N15" s="505">
        <v>100</v>
      </c>
      <c r="O15" s="505">
        <v>100</v>
      </c>
      <c r="P15" s="505">
        <v>100</v>
      </c>
      <c r="Q15" s="613"/>
    </row>
    <row r="16" spans="1:17" ht="18" customHeight="1">
      <c r="A16" s="330"/>
      <c r="B16" s="335"/>
      <c r="C16" s="351"/>
      <c r="D16" s="332"/>
      <c r="E16" s="529"/>
      <c r="F16" s="529"/>
      <c r="G16" s="529"/>
      <c r="H16" s="529"/>
      <c r="I16" s="529"/>
      <c r="J16" s="529"/>
      <c r="K16" s="446" t="s">
        <v>428</v>
      </c>
      <c r="L16" s="503">
        <v>70</v>
      </c>
      <c r="M16" s="503">
        <v>70</v>
      </c>
      <c r="N16" s="505">
        <v>70</v>
      </c>
      <c r="O16" s="505">
        <v>70</v>
      </c>
      <c r="P16" s="505">
        <v>70</v>
      </c>
      <c r="Q16" s="614"/>
    </row>
    <row r="17" spans="1:17" ht="33" customHeight="1">
      <c r="A17" s="330"/>
      <c r="B17" s="335"/>
      <c r="C17" s="472"/>
      <c r="D17" s="451" t="s">
        <v>424</v>
      </c>
      <c r="E17" s="532">
        <f>SUM(F17:J17)</f>
        <v>10970.5</v>
      </c>
      <c r="F17" s="532">
        <v>8761</v>
      </c>
      <c r="G17" s="532">
        <v>2209.5</v>
      </c>
      <c r="H17" s="532">
        <v>0</v>
      </c>
      <c r="I17" s="532">
        <v>0</v>
      </c>
      <c r="J17" s="546">
        <v>0</v>
      </c>
      <c r="K17" s="545" t="s">
        <v>429</v>
      </c>
      <c r="L17" s="503">
        <v>100</v>
      </c>
      <c r="M17" s="503">
        <v>100</v>
      </c>
      <c r="N17" s="505">
        <v>100</v>
      </c>
      <c r="O17" s="505">
        <v>100</v>
      </c>
      <c r="P17" s="505">
        <v>100</v>
      </c>
      <c r="Q17" s="469" t="s">
        <v>146</v>
      </c>
    </row>
    <row r="18" spans="1:17" ht="26.25" customHeight="1">
      <c r="A18" s="330"/>
      <c r="B18" s="335"/>
      <c r="C18" s="351"/>
      <c r="D18" s="544" t="s">
        <v>5</v>
      </c>
      <c r="E18" s="529">
        <f>SUM(F18:J18)</f>
        <v>10970.5</v>
      </c>
      <c r="F18" s="529">
        <v>8761</v>
      </c>
      <c r="G18" s="529">
        <v>2209.5</v>
      </c>
      <c r="H18" s="529">
        <v>0</v>
      </c>
      <c r="I18" s="529">
        <v>0</v>
      </c>
      <c r="J18" s="534">
        <v>0</v>
      </c>
      <c r="K18" s="545" t="s">
        <v>430</v>
      </c>
      <c r="L18" s="503" t="s">
        <v>444</v>
      </c>
      <c r="M18" s="503" t="s">
        <v>444</v>
      </c>
      <c r="N18" s="505">
        <v>100</v>
      </c>
      <c r="O18" s="505">
        <v>100</v>
      </c>
      <c r="P18" s="505">
        <v>100</v>
      </c>
      <c r="Q18" s="470"/>
    </row>
    <row r="19" spans="1:17" ht="34.5" customHeight="1">
      <c r="A19" s="330"/>
      <c r="B19" s="335"/>
      <c r="C19" s="351"/>
      <c r="D19" s="331" t="s">
        <v>6</v>
      </c>
      <c r="E19" s="529">
        <v>0</v>
      </c>
      <c r="F19" s="529">
        <v>0</v>
      </c>
      <c r="G19" s="529">
        <v>0</v>
      </c>
      <c r="H19" s="529">
        <v>0</v>
      </c>
      <c r="I19" s="529">
        <v>0</v>
      </c>
      <c r="J19" s="529">
        <v>0</v>
      </c>
      <c r="K19" s="446" t="s">
        <v>443</v>
      </c>
      <c r="L19" s="503" t="s">
        <v>442</v>
      </c>
      <c r="M19" s="503" t="s">
        <v>236</v>
      </c>
      <c r="N19" s="505" t="s">
        <v>236</v>
      </c>
      <c r="O19" s="505" t="s">
        <v>236</v>
      </c>
      <c r="P19" s="505" t="s">
        <v>236</v>
      </c>
      <c r="Q19" s="471"/>
    </row>
    <row r="20" spans="1:17" ht="44.25" customHeight="1">
      <c r="A20" s="330"/>
      <c r="B20" s="335"/>
      <c r="C20" s="439" t="s">
        <v>161</v>
      </c>
      <c r="D20" s="329" t="s">
        <v>424</v>
      </c>
      <c r="E20" s="528">
        <f aca="true" t="shared" si="2" ref="E20:J20">E21+E22</f>
        <v>361759.49</v>
      </c>
      <c r="F20" s="528">
        <f t="shared" si="2"/>
        <v>71225.65000000001</v>
      </c>
      <c r="G20" s="528">
        <f t="shared" si="2"/>
        <v>71306.89000000001</v>
      </c>
      <c r="H20" s="528">
        <f t="shared" si="2"/>
        <v>73075.65</v>
      </c>
      <c r="I20" s="528">
        <f t="shared" si="2"/>
        <v>73075.65</v>
      </c>
      <c r="J20" s="528">
        <f t="shared" si="2"/>
        <v>73075.65</v>
      </c>
      <c r="K20" s="446" t="s">
        <v>431</v>
      </c>
      <c r="L20" s="503" t="s">
        <v>236</v>
      </c>
      <c r="M20" s="503" t="s">
        <v>476</v>
      </c>
      <c r="N20" s="505">
        <v>95</v>
      </c>
      <c r="O20" s="505">
        <v>95</v>
      </c>
      <c r="P20" s="505">
        <v>95</v>
      </c>
      <c r="Q20" s="626" t="s">
        <v>51</v>
      </c>
    </row>
    <row r="21" spans="1:17" ht="13.5" customHeight="1">
      <c r="A21" s="330"/>
      <c r="B21" s="335"/>
      <c r="C21" s="351"/>
      <c r="D21" s="337" t="s">
        <v>5</v>
      </c>
      <c r="E21" s="529">
        <f>SUM(F21:J21)</f>
        <v>64086.28</v>
      </c>
      <c r="F21" s="529">
        <f>11383.44+260.8</f>
        <v>11644.24</v>
      </c>
      <c r="G21" s="529">
        <f>12616.79+100+150</f>
        <v>12866.79</v>
      </c>
      <c r="H21" s="529">
        <f>13175.96+15.79</f>
        <v>13191.75</v>
      </c>
      <c r="I21" s="529">
        <f>13175.96+15.79</f>
        <v>13191.75</v>
      </c>
      <c r="J21" s="529">
        <f>13175.96+15.79</f>
        <v>13191.75</v>
      </c>
      <c r="K21" s="627" t="s">
        <v>432</v>
      </c>
      <c r="L21" s="623">
        <v>100</v>
      </c>
      <c r="M21" s="623">
        <v>100</v>
      </c>
      <c r="N21" s="621">
        <v>100</v>
      </c>
      <c r="O21" s="621">
        <v>100</v>
      </c>
      <c r="P21" s="621">
        <v>100</v>
      </c>
      <c r="Q21" s="626"/>
    </row>
    <row r="22" spans="1:17" ht="13.5" customHeight="1">
      <c r="A22" s="330"/>
      <c r="B22" s="335"/>
      <c r="C22" s="352"/>
      <c r="D22" s="346" t="s">
        <v>6</v>
      </c>
      <c r="E22" s="530">
        <f>SUM(F22:J22)</f>
        <v>297673.21</v>
      </c>
      <c r="F22" s="530">
        <v>59581.41</v>
      </c>
      <c r="G22" s="530">
        <f>58120.8+319.3</f>
        <v>58440.100000000006</v>
      </c>
      <c r="H22" s="530">
        <f>300+59583.9</f>
        <v>59883.9</v>
      </c>
      <c r="I22" s="530">
        <f>300+59583.9</f>
        <v>59883.9</v>
      </c>
      <c r="J22" s="530">
        <f>300+59583.9</f>
        <v>59883.9</v>
      </c>
      <c r="K22" s="628"/>
      <c r="L22" s="624"/>
      <c r="M22" s="624"/>
      <c r="N22" s="625"/>
      <c r="O22" s="625"/>
      <c r="P22" s="625"/>
      <c r="Q22" s="626"/>
    </row>
    <row r="23" spans="1:17" ht="27" customHeight="1">
      <c r="A23" s="330"/>
      <c r="B23" s="449"/>
      <c r="C23" s="439" t="s">
        <v>161</v>
      </c>
      <c r="D23" s="451" t="s">
        <v>424</v>
      </c>
      <c r="E23" s="528">
        <f aca="true" t="shared" si="3" ref="E23:J23">E24+E25</f>
        <v>60470.009999999995</v>
      </c>
      <c r="F23" s="528">
        <f t="shared" si="3"/>
        <v>14175.059999999998</v>
      </c>
      <c r="G23" s="528">
        <f t="shared" si="3"/>
        <v>12144.72</v>
      </c>
      <c r="H23" s="528">
        <f t="shared" si="3"/>
        <v>11383.41</v>
      </c>
      <c r="I23" s="528">
        <f t="shared" si="3"/>
        <v>11383.41</v>
      </c>
      <c r="J23" s="528">
        <f t="shared" si="3"/>
        <v>11383.41</v>
      </c>
      <c r="K23" s="480" t="s">
        <v>434</v>
      </c>
      <c r="L23" s="503" t="s">
        <v>275</v>
      </c>
      <c r="M23" s="503" t="s">
        <v>275</v>
      </c>
      <c r="N23" s="505" t="s">
        <v>275</v>
      </c>
      <c r="O23" s="505" t="s">
        <v>275</v>
      </c>
      <c r="P23" s="505" t="s">
        <v>275</v>
      </c>
      <c r="Q23" s="450" t="s">
        <v>433</v>
      </c>
    </row>
    <row r="24" spans="1:17" ht="13.5" customHeight="1">
      <c r="A24" s="330"/>
      <c r="B24" s="449"/>
      <c r="C24" s="351"/>
      <c r="D24" s="453" t="s">
        <v>5</v>
      </c>
      <c r="E24" s="529">
        <f aca="true" t="shared" si="4" ref="E24:E29">SUM(F24:J24)</f>
        <v>53502.939999999995</v>
      </c>
      <c r="F24" s="529">
        <f>11842.39+531.8</f>
        <v>12374.189999999999</v>
      </c>
      <c r="G24" s="533">
        <f>10576.82+20</f>
        <v>10596.82</v>
      </c>
      <c r="H24" s="529">
        <f>10113.83+63.48</f>
        <v>10177.31</v>
      </c>
      <c r="I24" s="529">
        <f>10113.83+63.48</f>
        <v>10177.31</v>
      </c>
      <c r="J24" s="529">
        <f>10113.83+63.48</f>
        <v>10177.31</v>
      </c>
      <c r="K24" s="630" t="s">
        <v>268</v>
      </c>
      <c r="L24" s="623" t="s">
        <v>243</v>
      </c>
      <c r="M24" s="623" t="s">
        <v>445</v>
      </c>
      <c r="N24" s="621" t="s">
        <v>270</v>
      </c>
      <c r="O24" s="621" t="s">
        <v>270</v>
      </c>
      <c r="P24" s="621" t="s">
        <v>270</v>
      </c>
      <c r="Q24" s="450"/>
    </row>
    <row r="25" spans="1:17" ht="23.25" customHeight="1">
      <c r="A25" s="330"/>
      <c r="B25" s="449"/>
      <c r="C25" s="643"/>
      <c r="D25" s="453" t="s">
        <v>6</v>
      </c>
      <c r="E25" s="529">
        <f t="shared" si="4"/>
        <v>6967.07</v>
      </c>
      <c r="F25" s="529">
        <f>1531.87+269</f>
        <v>1800.87</v>
      </c>
      <c r="G25" s="533">
        <v>1547.9</v>
      </c>
      <c r="H25" s="529">
        <f>1206.1</f>
        <v>1206.1</v>
      </c>
      <c r="I25" s="529">
        <f>1206.1</f>
        <v>1206.1</v>
      </c>
      <c r="J25" s="529">
        <f>1206.1</f>
        <v>1206.1</v>
      </c>
      <c r="K25" s="631"/>
      <c r="L25" s="622"/>
      <c r="M25" s="622"/>
      <c r="N25" s="622"/>
      <c r="O25" s="622"/>
      <c r="P25" s="622"/>
      <c r="Q25" s="450"/>
    </row>
    <row r="26" spans="1:17" ht="23.25" customHeight="1">
      <c r="A26" s="473"/>
      <c r="B26" s="449"/>
      <c r="C26" s="643"/>
      <c r="D26" s="451" t="s">
        <v>424</v>
      </c>
      <c r="E26" s="528">
        <f t="shared" si="4"/>
        <v>378</v>
      </c>
      <c r="F26" s="528">
        <f>F27+F28</f>
        <v>240</v>
      </c>
      <c r="G26" s="528">
        <f>G27+G28</f>
        <v>138</v>
      </c>
      <c r="H26" s="528">
        <f>H27+H28</f>
        <v>0</v>
      </c>
      <c r="I26" s="528">
        <f>I27+I28</f>
        <v>0</v>
      </c>
      <c r="J26" s="528">
        <f>J27+J28</f>
        <v>0</v>
      </c>
      <c r="K26" s="474"/>
      <c r="L26" s="547"/>
      <c r="M26" s="507"/>
      <c r="N26" s="510"/>
      <c r="O26" s="510"/>
      <c r="P26" s="510"/>
      <c r="Q26" s="469" t="s">
        <v>308</v>
      </c>
    </row>
    <row r="27" spans="1:17" ht="23.25" customHeight="1">
      <c r="A27" s="473"/>
      <c r="B27" s="449"/>
      <c r="C27" s="643"/>
      <c r="D27" s="453" t="s">
        <v>5</v>
      </c>
      <c r="E27" s="529">
        <f t="shared" si="4"/>
        <v>378</v>
      </c>
      <c r="F27" s="534">
        <v>240</v>
      </c>
      <c r="G27" s="534">
        <v>138</v>
      </c>
      <c r="H27" s="534">
        <v>0</v>
      </c>
      <c r="I27" s="534">
        <v>0</v>
      </c>
      <c r="J27" s="529">
        <v>0</v>
      </c>
      <c r="K27" s="474"/>
      <c r="L27" s="547"/>
      <c r="M27" s="507"/>
      <c r="N27" s="510"/>
      <c r="O27" s="510"/>
      <c r="P27" s="510"/>
      <c r="Q27" s="450"/>
    </row>
    <row r="28" spans="1:17" ht="23.25" customHeight="1">
      <c r="A28" s="473"/>
      <c r="B28" s="449"/>
      <c r="C28" s="643"/>
      <c r="D28" s="453" t="s">
        <v>6</v>
      </c>
      <c r="E28" s="529">
        <f t="shared" si="4"/>
        <v>0</v>
      </c>
      <c r="F28" s="534">
        <v>0</v>
      </c>
      <c r="G28" s="534">
        <v>0</v>
      </c>
      <c r="H28" s="534">
        <v>0</v>
      </c>
      <c r="I28" s="534">
        <v>0</v>
      </c>
      <c r="J28" s="530">
        <v>0</v>
      </c>
      <c r="K28" s="474"/>
      <c r="L28" s="547"/>
      <c r="M28" s="507"/>
      <c r="N28" s="510"/>
      <c r="O28" s="510"/>
      <c r="P28" s="510"/>
      <c r="Q28" s="450"/>
    </row>
    <row r="29" spans="1:17" ht="68.25" customHeight="1">
      <c r="A29" s="336"/>
      <c r="B29" s="449"/>
      <c r="C29" s="644"/>
      <c r="D29" s="451" t="s">
        <v>435</v>
      </c>
      <c r="E29" s="492">
        <f t="shared" si="4"/>
        <v>157.97000000000003</v>
      </c>
      <c r="F29" s="535">
        <v>0</v>
      </c>
      <c r="G29" s="492">
        <v>44</v>
      </c>
      <c r="H29" s="492">
        <v>37.99</v>
      </c>
      <c r="I29" s="492">
        <v>37.99</v>
      </c>
      <c r="J29" s="492">
        <v>37.99</v>
      </c>
      <c r="K29" s="446" t="s">
        <v>437</v>
      </c>
      <c r="L29" s="506">
        <v>100</v>
      </c>
      <c r="M29" s="506">
        <v>100</v>
      </c>
      <c r="N29" s="504">
        <v>100</v>
      </c>
      <c r="O29" s="504">
        <v>100</v>
      </c>
      <c r="P29" s="504">
        <v>100</v>
      </c>
      <c r="Q29" s="452" t="s">
        <v>436</v>
      </c>
    </row>
    <row r="30" spans="1:17" ht="12.75" customHeight="1">
      <c r="A30" s="16" t="s">
        <v>24</v>
      </c>
      <c r="B30" s="635" t="s">
        <v>478</v>
      </c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6"/>
      <c r="P30" s="636"/>
      <c r="Q30" s="637"/>
    </row>
    <row r="31" spans="1:17" ht="24.75" customHeight="1">
      <c r="A31" s="612" t="s">
        <v>26</v>
      </c>
      <c r="B31" s="630" t="s">
        <v>438</v>
      </c>
      <c r="C31" s="677" t="s">
        <v>161</v>
      </c>
      <c r="D31" s="139" t="s">
        <v>249</v>
      </c>
      <c r="E31" s="536">
        <f aca="true" t="shared" si="5" ref="E31:J31">SUM(E32:E35)</f>
        <v>210</v>
      </c>
      <c r="F31" s="536">
        <f t="shared" si="5"/>
        <v>70</v>
      </c>
      <c r="G31" s="536">
        <f t="shared" si="5"/>
        <v>35</v>
      </c>
      <c r="H31" s="536">
        <f t="shared" si="5"/>
        <v>35</v>
      </c>
      <c r="I31" s="536">
        <f t="shared" si="5"/>
        <v>35</v>
      </c>
      <c r="J31" s="536">
        <f t="shared" si="5"/>
        <v>35</v>
      </c>
      <c r="K31" s="630" t="s">
        <v>256</v>
      </c>
      <c r="L31" s="623" t="s">
        <v>236</v>
      </c>
      <c r="M31" s="623" t="s">
        <v>236</v>
      </c>
      <c r="N31" s="621" t="s">
        <v>236</v>
      </c>
      <c r="O31" s="621" t="s">
        <v>236</v>
      </c>
      <c r="P31" s="621" t="s">
        <v>236</v>
      </c>
      <c r="Q31" s="612" t="s">
        <v>308</v>
      </c>
    </row>
    <row r="32" spans="1:17" ht="8.25" customHeight="1">
      <c r="A32" s="673"/>
      <c r="B32" s="675"/>
      <c r="C32" s="632"/>
      <c r="D32" s="664" t="s">
        <v>5</v>
      </c>
      <c r="E32" s="665">
        <f>SUM(F32:J33)</f>
        <v>210</v>
      </c>
      <c r="F32" s="665">
        <f>70</f>
        <v>70</v>
      </c>
      <c r="G32" s="666">
        <v>35</v>
      </c>
      <c r="H32" s="665">
        <v>35</v>
      </c>
      <c r="I32" s="665">
        <v>35</v>
      </c>
      <c r="J32" s="665">
        <v>35</v>
      </c>
      <c r="K32" s="632"/>
      <c r="L32" s="656"/>
      <c r="M32" s="656"/>
      <c r="N32" s="622"/>
      <c r="O32" s="622"/>
      <c r="P32" s="622"/>
      <c r="Q32" s="632"/>
    </row>
    <row r="33" spans="1:17" ht="6" customHeight="1">
      <c r="A33" s="673"/>
      <c r="B33" s="675"/>
      <c r="C33" s="632"/>
      <c r="D33" s="664"/>
      <c r="E33" s="665"/>
      <c r="F33" s="665"/>
      <c r="G33" s="666"/>
      <c r="H33" s="665"/>
      <c r="I33" s="665"/>
      <c r="J33" s="665"/>
      <c r="K33" s="633"/>
      <c r="L33" s="657"/>
      <c r="M33" s="657"/>
      <c r="N33" s="653"/>
      <c r="O33" s="653"/>
      <c r="P33" s="653"/>
      <c r="Q33" s="632"/>
    </row>
    <row r="34" spans="1:17" ht="10.5" customHeight="1">
      <c r="A34" s="673"/>
      <c r="B34" s="675"/>
      <c r="C34" s="632"/>
      <c r="D34" s="678" t="s">
        <v>6</v>
      </c>
      <c r="E34" s="651">
        <f>SUM(F34:J35)</f>
        <v>0</v>
      </c>
      <c r="F34" s="651">
        <v>0</v>
      </c>
      <c r="G34" s="651">
        <v>0</v>
      </c>
      <c r="H34" s="651">
        <v>0</v>
      </c>
      <c r="I34" s="651">
        <v>0</v>
      </c>
      <c r="J34" s="651">
        <v>0</v>
      </c>
      <c r="K34" s="638" t="s">
        <v>257</v>
      </c>
      <c r="L34" s="619" t="s">
        <v>236</v>
      </c>
      <c r="M34" s="619" t="s">
        <v>236</v>
      </c>
      <c r="N34" s="654" t="s">
        <v>236</v>
      </c>
      <c r="O34" s="654" t="s">
        <v>236</v>
      </c>
      <c r="P34" s="654" t="s">
        <v>236</v>
      </c>
      <c r="Q34" s="632"/>
    </row>
    <row r="35" spans="1:17" ht="25.5" customHeight="1">
      <c r="A35" s="674"/>
      <c r="B35" s="676"/>
      <c r="C35" s="633"/>
      <c r="D35" s="679"/>
      <c r="E35" s="652"/>
      <c r="F35" s="652"/>
      <c r="G35" s="652"/>
      <c r="H35" s="652"/>
      <c r="I35" s="652"/>
      <c r="J35" s="652"/>
      <c r="K35" s="638"/>
      <c r="L35" s="620"/>
      <c r="M35" s="620"/>
      <c r="N35" s="655"/>
      <c r="O35" s="655"/>
      <c r="P35" s="655"/>
      <c r="Q35" s="633"/>
    </row>
    <row r="36" spans="1:17" ht="12" customHeight="1">
      <c r="A36" s="8" t="s">
        <v>28</v>
      </c>
      <c r="B36" s="648" t="s">
        <v>440</v>
      </c>
      <c r="C36" s="649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50"/>
    </row>
    <row r="37" spans="1:17" s="233" customFormat="1" ht="24" customHeight="1">
      <c r="A37" s="645" t="s">
        <v>30</v>
      </c>
      <c r="B37" s="658" t="s">
        <v>439</v>
      </c>
      <c r="C37" s="616" t="s">
        <v>161</v>
      </c>
      <c r="D37" s="226" t="s">
        <v>249</v>
      </c>
      <c r="E37" s="537">
        <f aca="true" t="shared" si="6" ref="E37:J37">E38+E39</f>
        <v>15493.7</v>
      </c>
      <c r="F37" s="537">
        <f t="shared" si="6"/>
        <v>3196.6</v>
      </c>
      <c r="G37" s="537">
        <f t="shared" si="6"/>
        <v>3089.2</v>
      </c>
      <c r="H37" s="537">
        <f t="shared" si="6"/>
        <v>3069.3</v>
      </c>
      <c r="I37" s="537">
        <f t="shared" si="6"/>
        <v>3069.3</v>
      </c>
      <c r="J37" s="537">
        <f t="shared" si="6"/>
        <v>3069.3</v>
      </c>
      <c r="K37" s="661" t="s">
        <v>450</v>
      </c>
      <c r="L37" s="623" t="s">
        <v>445</v>
      </c>
      <c r="M37" s="623" t="s">
        <v>266</v>
      </c>
      <c r="N37" s="623" t="s">
        <v>275</v>
      </c>
      <c r="O37" s="623" t="s">
        <v>275</v>
      </c>
      <c r="P37" s="623" t="s">
        <v>275</v>
      </c>
      <c r="Q37" s="645" t="s">
        <v>51</v>
      </c>
    </row>
    <row r="38" spans="1:17" s="233" customFormat="1" ht="16.5" customHeight="1">
      <c r="A38" s="646"/>
      <c r="B38" s="659"/>
      <c r="C38" s="660"/>
      <c r="D38" s="339" t="s">
        <v>5</v>
      </c>
      <c r="E38" s="538">
        <f>SUM(F38:J38)</f>
        <v>7365.7</v>
      </c>
      <c r="F38" s="538">
        <v>1838.6999999999998</v>
      </c>
      <c r="G38" s="538">
        <v>1606</v>
      </c>
      <c r="H38" s="538">
        <v>1307</v>
      </c>
      <c r="I38" s="538">
        <v>1307</v>
      </c>
      <c r="J38" s="538">
        <v>1307</v>
      </c>
      <c r="K38" s="662"/>
      <c r="L38" s="656"/>
      <c r="M38" s="656"/>
      <c r="N38" s="656"/>
      <c r="O38" s="656"/>
      <c r="P38" s="656"/>
      <c r="Q38" s="646"/>
    </row>
    <row r="39" spans="1:17" s="233" customFormat="1" ht="13.5" customHeight="1" thickBot="1">
      <c r="A39" s="646"/>
      <c r="B39" s="659"/>
      <c r="C39" s="660"/>
      <c r="D39" s="347" t="s">
        <v>6</v>
      </c>
      <c r="E39" s="538">
        <f>F39+G39+H39+I39+J39</f>
        <v>8128.000000000001</v>
      </c>
      <c r="F39" s="539">
        <v>1357.9</v>
      </c>
      <c r="G39" s="539">
        <v>1483.2</v>
      </c>
      <c r="H39" s="539">
        <v>1762.3</v>
      </c>
      <c r="I39" s="539">
        <v>1762.3</v>
      </c>
      <c r="J39" s="539">
        <v>1762.3</v>
      </c>
      <c r="K39" s="663"/>
      <c r="L39" s="657"/>
      <c r="M39" s="657"/>
      <c r="N39" s="657"/>
      <c r="O39" s="657"/>
      <c r="P39" s="657"/>
      <c r="Q39" s="646"/>
    </row>
    <row r="40" spans="1:17" s="233" customFormat="1" ht="16.5" customHeight="1" hidden="1">
      <c r="A40" s="646"/>
      <c r="B40" s="659"/>
      <c r="C40" s="660"/>
      <c r="D40" s="454"/>
      <c r="E40" s="538"/>
      <c r="F40" s="538"/>
      <c r="G40" s="538"/>
      <c r="H40" s="538"/>
      <c r="I40" s="538"/>
      <c r="J40" s="538"/>
      <c r="K40" s="634"/>
      <c r="L40" s="619"/>
      <c r="M40" s="619"/>
      <c r="N40" s="619"/>
      <c r="O40" s="619"/>
      <c r="P40" s="619"/>
      <c r="Q40" s="646"/>
    </row>
    <row r="41" spans="1:17" s="233" customFormat="1" ht="16.5" customHeight="1" hidden="1" thickBot="1">
      <c r="A41" s="647"/>
      <c r="B41" s="659"/>
      <c r="C41" s="660"/>
      <c r="D41" s="454"/>
      <c r="E41" s="538"/>
      <c r="F41" s="538"/>
      <c r="G41" s="538"/>
      <c r="H41" s="538"/>
      <c r="I41" s="538"/>
      <c r="J41" s="538"/>
      <c r="K41" s="634"/>
      <c r="L41" s="620"/>
      <c r="M41" s="620"/>
      <c r="N41" s="620"/>
      <c r="O41" s="620"/>
      <c r="P41" s="620"/>
      <c r="Q41" s="647"/>
    </row>
    <row r="42" spans="1:17" ht="15.75" customHeight="1">
      <c r="A42" s="639"/>
      <c r="B42" s="640" t="s">
        <v>13</v>
      </c>
      <c r="C42" s="639"/>
      <c r="D42" s="641" t="s">
        <v>296</v>
      </c>
      <c r="E42" s="508">
        <f aca="true" t="shared" si="7" ref="E42:J42">SUM(E44:E45)</f>
        <v>814850.6099999999</v>
      </c>
      <c r="F42" s="508">
        <f t="shared" si="7"/>
        <v>173578.14999999997</v>
      </c>
      <c r="G42" s="508">
        <f t="shared" si="7"/>
        <v>164366.81</v>
      </c>
      <c r="H42" s="508">
        <f t="shared" si="7"/>
        <v>158968.55</v>
      </c>
      <c r="I42" s="508">
        <f t="shared" si="7"/>
        <v>158968.55</v>
      </c>
      <c r="J42" s="540">
        <f t="shared" si="7"/>
        <v>158968.55</v>
      </c>
      <c r="K42" s="629"/>
      <c r="L42" s="615"/>
      <c r="M42" s="615"/>
      <c r="N42" s="615"/>
      <c r="O42" s="615"/>
      <c r="P42" s="615"/>
      <c r="Q42" s="616"/>
    </row>
    <row r="43" spans="1:17" ht="15.75" customHeight="1">
      <c r="A43" s="639"/>
      <c r="B43" s="640"/>
      <c r="C43" s="639"/>
      <c r="D43" s="642"/>
      <c r="E43" s="509"/>
      <c r="F43" s="509"/>
      <c r="G43" s="509"/>
      <c r="H43" s="509"/>
      <c r="I43" s="509"/>
      <c r="J43" s="541"/>
      <c r="K43" s="629"/>
      <c r="L43" s="615"/>
      <c r="M43" s="615"/>
      <c r="N43" s="615"/>
      <c r="O43" s="615"/>
      <c r="P43" s="615"/>
      <c r="Q43" s="616"/>
    </row>
    <row r="44" spans="1:17" ht="15.75" customHeight="1">
      <c r="A44" s="639"/>
      <c r="B44" s="640"/>
      <c r="C44" s="639"/>
      <c r="D44" s="365" t="s">
        <v>5</v>
      </c>
      <c r="E44" s="509">
        <f>SUM(F44:J44)</f>
        <v>267601.84</v>
      </c>
      <c r="F44" s="509">
        <f>F38+F32+F11</f>
        <v>64241.37999999999</v>
      </c>
      <c r="G44" s="509">
        <f>G38+G32+G11</f>
        <v>54136.11</v>
      </c>
      <c r="H44" s="509">
        <f>H38+H32+H11</f>
        <v>49741.45</v>
      </c>
      <c r="I44" s="509">
        <f>I38+I32+I11</f>
        <v>49741.45</v>
      </c>
      <c r="J44" s="541">
        <f>J38+J32+J11</f>
        <v>49741.45</v>
      </c>
      <c r="K44" s="629"/>
      <c r="L44" s="615"/>
      <c r="M44" s="615"/>
      <c r="N44" s="615"/>
      <c r="O44" s="615"/>
      <c r="P44" s="615"/>
      <c r="Q44" s="616"/>
    </row>
    <row r="45" spans="1:17" ht="15.75" customHeight="1" thickBot="1">
      <c r="A45" s="639"/>
      <c r="B45" s="640"/>
      <c r="C45" s="639"/>
      <c r="D45" s="364" t="s">
        <v>6</v>
      </c>
      <c r="E45" s="542">
        <f>SUM(F45:J45)</f>
        <v>547248.7699999999</v>
      </c>
      <c r="F45" s="542">
        <f>F39+F34+F12</f>
        <v>109336.76999999999</v>
      </c>
      <c r="G45" s="542">
        <f>G39+G34+G12</f>
        <v>110230.7</v>
      </c>
      <c r="H45" s="542">
        <f>H39+H34+H12</f>
        <v>109227.1</v>
      </c>
      <c r="I45" s="542">
        <f>I39+I34+I12</f>
        <v>109227.1</v>
      </c>
      <c r="J45" s="543">
        <f>J39+J34+J12</f>
        <v>109227.1</v>
      </c>
      <c r="K45" s="629"/>
      <c r="L45" s="615"/>
      <c r="M45" s="615"/>
      <c r="N45" s="615"/>
      <c r="O45" s="615"/>
      <c r="P45" s="615"/>
      <c r="Q45" s="616"/>
    </row>
    <row r="46" spans="2:17" ht="18.75" customHeight="1">
      <c r="B46" s="233"/>
      <c r="C46" s="322"/>
      <c r="D46" s="323"/>
      <c r="E46" s="323"/>
      <c r="F46" s="323"/>
      <c r="G46" s="323"/>
      <c r="H46" s="323"/>
      <c r="I46" s="323"/>
      <c r="J46" s="323"/>
      <c r="K46" s="324"/>
      <c r="L46" s="323"/>
      <c r="M46" s="323"/>
      <c r="N46" s="323"/>
      <c r="O46" s="323"/>
      <c r="P46" s="323"/>
      <c r="Q46" s="325"/>
    </row>
    <row r="47" spans="2:17" ht="18.75" customHeight="1">
      <c r="B47" s="233"/>
      <c r="C47" s="322"/>
      <c r="D47" s="323"/>
      <c r="E47" s="323"/>
      <c r="F47" s="323"/>
      <c r="G47" s="323"/>
      <c r="H47" s="323"/>
      <c r="I47" s="323"/>
      <c r="J47" s="323"/>
      <c r="K47" s="324"/>
      <c r="L47" s="323"/>
      <c r="M47" s="323"/>
      <c r="N47" s="323"/>
      <c r="O47" s="323"/>
      <c r="P47" s="323"/>
      <c r="Q47" s="325"/>
    </row>
    <row r="48" spans="2:17" ht="18.75" customHeight="1">
      <c r="B48" s="233"/>
      <c r="C48" s="322"/>
      <c r="D48" s="323"/>
      <c r="E48" s="323"/>
      <c r="F48" s="326"/>
      <c r="G48" s="323"/>
      <c r="H48" s="323"/>
      <c r="I48" s="323"/>
      <c r="J48" s="323"/>
      <c r="K48" s="324"/>
      <c r="L48" s="323"/>
      <c r="M48" s="323"/>
      <c r="N48" s="323"/>
      <c r="O48" s="323"/>
      <c r="P48" s="323"/>
      <c r="Q48" s="325"/>
    </row>
    <row r="49" spans="2:17" ht="18.75" customHeight="1">
      <c r="B49" s="233"/>
      <c r="C49" s="322"/>
      <c r="D49" s="323"/>
      <c r="E49" s="323"/>
      <c r="F49" s="326"/>
      <c r="G49" s="326"/>
      <c r="H49" s="323"/>
      <c r="I49" s="326"/>
      <c r="J49" s="323"/>
      <c r="K49" s="324"/>
      <c r="L49" s="323"/>
      <c r="M49" s="323"/>
      <c r="N49" s="323"/>
      <c r="O49" s="323"/>
      <c r="P49" s="323"/>
      <c r="Q49" s="325"/>
    </row>
  </sheetData>
  <sheetProtection/>
  <mergeCells count="89">
    <mergeCell ref="B8:Q8"/>
    <mergeCell ref="B9:Q9"/>
    <mergeCell ref="A10:A14"/>
    <mergeCell ref="B10:B12"/>
    <mergeCell ref="G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A31:A35"/>
    <mergeCell ref="B31:B35"/>
    <mergeCell ref="C31:C35"/>
    <mergeCell ref="J32:J33"/>
    <mergeCell ref="D34:D35"/>
    <mergeCell ref="E34:E35"/>
    <mergeCell ref="F34:F35"/>
    <mergeCell ref="H34:H35"/>
    <mergeCell ref="I34:I35"/>
    <mergeCell ref="J34:J35"/>
    <mergeCell ref="Q31:Q35"/>
    <mergeCell ref="P34:P35"/>
    <mergeCell ref="L34:L35"/>
    <mergeCell ref="M34:M35"/>
    <mergeCell ref="N34:N35"/>
    <mergeCell ref="L31:L33"/>
    <mergeCell ref="D32:D33"/>
    <mergeCell ref="E32:E33"/>
    <mergeCell ref="F32:F33"/>
    <mergeCell ref="G32:G33"/>
    <mergeCell ref="H32:H33"/>
    <mergeCell ref="I32:I33"/>
    <mergeCell ref="A37:A41"/>
    <mergeCell ref="B37:B41"/>
    <mergeCell ref="C37:C41"/>
    <mergeCell ref="K37:K39"/>
    <mergeCell ref="L37:L39"/>
    <mergeCell ref="M37:M39"/>
    <mergeCell ref="M40:M41"/>
    <mergeCell ref="L40:L41"/>
    <mergeCell ref="O34:O35"/>
    <mergeCell ref="N40:N41"/>
    <mergeCell ref="M31:M33"/>
    <mergeCell ref="N31:N33"/>
    <mergeCell ref="P40:P41"/>
    <mergeCell ref="N37:N39"/>
    <mergeCell ref="O37:O39"/>
    <mergeCell ref="P37:P39"/>
    <mergeCell ref="A42:A45"/>
    <mergeCell ref="B42:B45"/>
    <mergeCell ref="C42:C45"/>
    <mergeCell ref="D42:D43"/>
    <mergeCell ref="C25:C29"/>
    <mergeCell ref="Q37:Q41"/>
    <mergeCell ref="B36:Q36"/>
    <mergeCell ref="G34:G35"/>
    <mergeCell ref="O31:O33"/>
    <mergeCell ref="P31:P33"/>
    <mergeCell ref="K42:K45"/>
    <mergeCell ref="K24:K25"/>
    <mergeCell ref="K31:K33"/>
    <mergeCell ref="K40:K41"/>
    <mergeCell ref="B30:Q30"/>
    <mergeCell ref="L42:L45"/>
    <mergeCell ref="M42:M45"/>
    <mergeCell ref="L24:L25"/>
    <mergeCell ref="M24:M25"/>
    <mergeCell ref="K34:K35"/>
    <mergeCell ref="M21:M22"/>
    <mergeCell ref="N21:N22"/>
    <mergeCell ref="O21:O22"/>
    <mergeCell ref="P21:P22"/>
    <mergeCell ref="Q20:Q22"/>
    <mergeCell ref="K21:K22"/>
    <mergeCell ref="L21:L22"/>
    <mergeCell ref="Q13:Q16"/>
    <mergeCell ref="N42:N45"/>
    <mergeCell ref="O42:O45"/>
    <mergeCell ref="P42:P45"/>
    <mergeCell ref="Q42:Q45"/>
    <mergeCell ref="Q10:Q12"/>
    <mergeCell ref="O40:O41"/>
    <mergeCell ref="N24:N25"/>
    <mergeCell ref="O24:O25"/>
    <mergeCell ref="P24:P25"/>
  </mergeCells>
  <printOptions horizontalCentered="1"/>
  <pageMargins left="0.1968503937007874" right="0.1968503937007874" top="0.7874015748031497" bottom="0.1968503937007874" header="0" footer="0"/>
  <pageSetup fitToHeight="5" horizontalDpi="600" verticalDpi="600" orientation="landscape" paperSize="9" scale="85" r:id="rId1"/>
  <ignoredErrors>
    <ignoredError sqref="L14:P14 L23:P23 N24:P24 L31:P35 L13:P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7109375" defaultRowHeight="18.75" customHeight="1"/>
  <cols>
    <col min="1" max="1" width="6.57421875" style="1" customWidth="1"/>
    <col min="2" max="2" width="28.28125" style="1" customWidth="1"/>
    <col min="3" max="3" width="6.28125" style="51" customWidth="1"/>
    <col min="4" max="4" width="6.8515625" style="42" customWidth="1"/>
    <col min="5" max="5" width="8.00390625" style="42" customWidth="1"/>
    <col min="6" max="7" width="8.28125" style="42" customWidth="1"/>
    <col min="8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71093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683" t="s">
        <v>408</v>
      </c>
      <c r="H1" s="683"/>
      <c r="I1" s="683"/>
      <c r="J1" s="683"/>
      <c r="K1" s="683"/>
      <c r="L1" s="683"/>
      <c r="M1" s="683"/>
      <c r="N1" s="683"/>
      <c r="O1" s="683"/>
      <c r="P1" s="683"/>
      <c r="Q1" s="683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684" t="s">
        <v>407</v>
      </c>
      <c r="L2" s="684"/>
      <c r="M2" s="684"/>
      <c r="N2" s="684"/>
      <c r="O2" s="684"/>
      <c r="P2" s="684"/>
      <c r="Q2" s="684"/>
    </row>
    <row r="3" spans="1:17" ht="28.5" customHeight="1">
      <c r="A3" s="685" t="s">
        <v>406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667" t="s">
        <v>16</v>
      </c>
      <c r="B5" s="671" t="s">
        <v>15</v>
      </c>
      <c r="C5" s="667" t="s">
        <v>8</v>
      </c>
      <c r="D5" s="667" t="s">
        <v>9</v>
      </c>
      <c r="E5" s="668" t="s">
        <v>0</v>
      </c>
      <c r="F5" s="669"/>
      <c r="G5" s="669"/>
      <c r="H5" s="669"/>
      <c r="I5" s="669"/>
      <c r="J5" s="670"/>
      <c r="K5" s="668" t="s">
        <v>17</v>
      </c>
      <c r="L5" s="669"/>
      <c r="M5" s="669"/>
      <c r="N5" s="669"/>
      <c r="O5" s="669"/>
      <c r="P5" s="670"/>
      <c r="Q5" s="671" t="s">
        <v>14</v>
      </c>
    </row>
    <row r="6" spans="1:17" s="15" customFormat="1" ht="14.25" customHeight="1">
      <c r="A6" s="667"/>
      <c r="B6" s="672"/>
      <c r="C6" s="667"/>
      <c r="D6" s="667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672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680" t="s">
        <v>44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</row>
    <row r="9" spans="1:17" ht="13.5" customHeight="1">
      <c r="A9" s="20">
        <v>1</v>
      </c>
      <c r="B9" s="681" t="s">
        <v>79</v>
      </c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</row>
    <row r="10" spans="1:17" ht="22.5" customHeight="1">
      <c r="A10" s="612" t="s">
        <v>19</v>
      </c>
      <c r="B10" s="630" t="s">
        <v>45</v>
      </c>
      <c r="C10" s="677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627" t="s">
        <v>248</v>
      </c>
      <c r="L10" s="621" t="s">
        <v>236</v>
      </c>
      <c r="M10" s="621" t="s">
        <v>236</v>
      </c>
      <c r="N10" s="621" t="s">
        <v>213</v>
      </c>
      <c r="O10" s="621" t="s">
        <v>213</v>
      </c>
      <c r="P10" s="621" t="s">
        <v>213</v>
      </c>
      <c r="Q10" s="621" t="s">
        <v>63</v>
      </c>
    </row>
    <row r="11" spans="1:17" ht="6.75" customHeight="1">
      <c r="A11" s="682"/>
      <c r="B11" s="686"/>
      <c r="C11" s="686"/>
      <c r="D11" s="689" t="s">
        <v>5</v>
      </c>
      <c r="E11" s="690">
        <f>SUM(F11:J12)</f>
        <v>10970.5</v>
      </c>
      <c r="F11" s="690">
        <f>16163-6362-120-300-620</f>
        <v>8761</v>
      </c>
      <c r="G11" s="690">
        <f>2359.5-150</f>
        <v>2209.5</v>
      </c>
      <c r="H11" s="690">
        <v>0</v>
      </c>
      <c r="I11" s="690">
        <v>0</v>
      </c>
      <c r="J11" s="690">
        <v>0</v>
      </c>
      <c r="K11" s="687"/>
      <c r="L11" s="687"/>
      <c r="M11" s="687"/>
      <c r="N11" s="687"/>
      <c r="O11" s="687"/>
      <c r="P11" s="687"/>
      <c r="Q11" s="688"/>
    </row>
    <row r="12" spans="1:17" ht="6.75" customHeight="1" thickBot="1">
      <c r="A12" s="682"/>
      <c r="B12" s="686"/>
      <c r="C12" s="686"/>
      <c r="D12" s="689"/>
      <c r="E12" s="690"/>
      <c r="F12" s="690"/>
      <c r="G12" s="690"/>
      <c r="H12" s="690"/>
      <c r="I12" s="690"/>
      <c r="J12" s="690"/>
      <c r="K12" s="687"/>
      <c r="L12" s="687"/>
      <c r="M12" s="687"/>
      <c r="N12" s="687"/>
      <c r="O12" s="687"/>
      <c r="P12" s="687"/>
      <c r="Q12" s="688"/>
    </row>
    <row r="13" spans="1:17" ht="15" customHeight="1">
      <c r="A13" s="695"/>
      <c r="B13" s="680" t="s">
        <v>23</v>
      </c>
      <c r="C13" s="698"/>
      <c r="D13" s="700" t="s">
        <v>249</v>
      </c>
      <c r="E13" s="702">
        <f>SUM(F13:J14)</f>
        <v>10970.5</v>
      </c>
      <c r="F13" s="702">
        <f>SUM(F15:F16)</f>
        <v>8761</v>
      </c>
      <c r="G13" s="702">
        <f>SUM(G15:G16)</f>
        <v>2209.5</v>
      </c>
      <c r="H13" s="702">
        <f>SUM(H15:H16)</f>
        <v>0</v>
      </c>
      <c r="I13" s="702">
        <f>SUM(I15:I16)</f>
        <v>0</v>
      </c>
      <c r="J13" s="704">
        <f>SUM(J15:J16)</f>
        <v>0</v>
      </c>
      <c r="K13" s="691"/>
      <c r="L13" s="693"/>
      <c r="M13" s="693"/>
      <c r="N13" s="693"/>
      <c r="O13" s="693"/>
      <c r="P13" s="693"/>
      <c r="Q13" s="693"/>
    </row>
    <row r="14" spans="1:17" ht="10.5" customHeight="1">
      <c r="A14" s="695"/>
      <c r="B14" s="680"/>
      <c r="C14" s="698"/>
      <c r="D14" s="701"/>
      <c r="E14" s="703"/>
      <c r="F14" s="703"/>
      <c r="G14" s="703"/>
      <c r="H14" s="703"/>
      <c r="I14" s="703"/>
      <c r="J14" s="705"/>
      <c r="K14" s="691"/>
      <c r="L14" s="693"/>
      <c r="M14" s="693"/>
      <c r="N14" s="693"/>
      <c r="O14" s="693"/>
      <c r="P14" s="693"/>
      <c r="Q14" s="693"/>
    </row>
    <row r="15" spans="1:17" ht="13.5" customHeight="1">
      <c r="A15" s="695"/>
      <c r="B15" s="680"/>
      <c r="C15" s="698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691"/>
      <c r="L15" s="693"/>
      <c r="M15" s="693"/>
      <c r="N15" s="693"/>
      <c r="O15" s="693"/>
      <c r="P15" s="693"/>
      <c r="Q15" s="693"/>
    </row>
    <row r="16" spans="1:17" ht="13.5" customHeight="1" thickBot="1">
      <c r="A16" s="696"/>
      <c r="B16" s="697"/>
      <c r="C16" s="699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692"/>
      <c r="L16" s="694"/>
      <c r="M16" s="694"/>
      <c r="N16" s="694"/>
      <c r="O16" s="694"/>
      <c r="P16" s="694"/>
      <c r="Q16" s="694"/>
    </row>
    <row r="17" spans="1:17" ht="16.5" customHeight="1">
      <c r="A17" s="16" t="s">
        <v>24</v>
      </c>
      <c r="B17" s="648" t="s">
        <v>80</v>
      </c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50"/>
    </row>
    <row r="18" spans="1:17" ht="24" customHeight="1">
      <c r="A18" s="612" t="s">
        <v>26</v>
      </c>
      <c r="B18" s="630" t="s">
        <v>46</v>
      </c>
      <c r="C18" s="677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630" t="s">
        <v>250</v>
      </c>
      <c r="L18" s="621" t="s">
        <v>240</v>
      </c>
      <c r="M18" s="621" t="s">
        <v>240</v>
      </c>
      <c r="N18" s="621" t="s">
        <v>240</v>
      </c>
      <c r="O18" s="621" t="s">
        <v>240</v>
      </c>
      <c r="P18" s="621" t="s">
        <v>240</v>
      </c>
      <c r="Q18" s="612" t="s">
        <v>136</v>
      </c>
    </row>
    <row r="19" spans="1:17" ht="16.5" customHeight="1">
      <c r="A19" s="673"/>
      <c r="B19" s="675"/>
      <c r="C19" s="632"/>
      <c r="D19" s="710" t="s">
        <v>5</v>
      </c>
      <c r="E19" s="708">
        <f>SUM(F19:J20)</f>
        <v>978</v>
      </c>
      <c r="F19" s="708">
        <v>240</v>
      </c>
      <c r="G19" s="715">
        <f>200-62</f>
        <v>138</v>
      </c>
      <c r="H19" s="708">
        <v>200</v>
      </c>
      <c r="I19" s="708">
        <v>200</v>
      </c>
      <c r="J19" s="708">
        <v>200</v>
      </c>
      <c r="K19" s="675"/>
      <c r="L19" s="706"/>
      <c r="M19" s="706"/>
      <c r="N19" s="706"/>
      <c r="O19" s="706"/>
      <c r="P19" s="706"/>
      <c r="Q19" s="632"/>
    </row>
    <row r="20" spans="1:17" ht="6" customHeight="1">
      <c r="A20" s="673"/>
      <c r="B20" s="675"/>
      <c r="C20" s="632"/>
      <c r="D20" s="714"/>
      <c r="E20" s="709"/>
      <c r="F20" s="709"/>
      <c r="G20" s="716"/>
      <c r="H20" s="709"/>
      <c r="I20" s="709"/>
      <c r="J20" s="709"/>
      <c r="K20" s="675"/>
      <c r="L20" s="706"/>
      <c r="M20" s="706"/>
      <c r="N20" s="706"/>
      <c r="O20" s="706"/>
      <c r="P20" s="706"/>
      <c r="Q20" s="632"/>
    </row>
    <row r="21" spans="1:17" ht="16.5" customHeight="1">
      <c r="A21" s="673"/>
      <c r="B21" s="675"/>
      <c r="C21" s="632"/>
      <c r="D21" s="689" t="s">
        <v>6</v>
      </c>
      <c r="E21" s="708">
        <f>SUM(F21:J22)</f>
        <v>0</v>
      </c>
      <c r="F21" s="712">
        <v>0</v>
      </c>
      <c r="G21" s="712">
        <v>0</v>
      </c>
      <c r="H21" s="712">
        <v>0</v>
      </c>
      <c r="I21" s="712">
        <v>0</v>
      </c>
      <c r="J21" s="712">
        <v>0</v>
      </c>
      <c r="K21" s="675"/>
      <c r="L21" s="706"/>
      <c r="M21" s="706"/>
      <c r="N21" s="706"/>
      <c r="O21" s="706"/>
      <c r="P21" s="706"/>
      <c r="Q21" s="632"/>
    </row>
    <row r="22" spans="1:17" ht="8.25" customHeight="1" thickBot="1">
      <c r="A22" s="674"/>
      <c r="B22" s="676"/>
      <c r="C22" s="633"/>
      <c r="D22" s="710"/>
      <c r="E22" s="711"/>
      <c r="F22" s="713"/>
      <c r="G22" s="713"/>
      <c r="H22" s="713"/>
      <c r="I22" s="713"/>
      <c r="J22" s="713"/>
      <c r="K22" s="676"/>
      <c r="L22" s="707"/>
      <c r="M22" s="707"/>
      <c r="N22" s="707"/>
      <c r="O22" s="707"/>
      <c r="P22" s="707"/>
      <c r="Q22" s="633"/>
    </row>
    <row r="23" spans="1:17" ht="12.75" customHeight="1">
      <c r="A23" s="679"/>
      <c r="B23" s="680" t="s">
        <v>43</v>
      </c>
      <c r="C23" s="717"/>
      <c r="D23" s="700" t="s">
        <v>249</v>
      </c>
      <c r="E23" s="702">
        <f>SUM(F23:J24)</f>
        <v>978</v>
      </c>
      <c r="F23" s="702">
        <f>SUM(F19)</f>
        <v>240</v>
      </c>
      <c r="G23" s="702">
        <f>SUM(G19)</f>
        <v>138</v>
      </c>
      <c r="H23" s="702">
        <f>SUM(H19)</f>
        <v>200</v>
      </c>
      <c r="I23" s="702">
        <f>SUM(I19)</f>
        <v>200</v>
      </c>
      <c r="J23" s="704">
        <f>SUM(J19)</f>
        <v>200</v>
      </c>
      <c r="K23" s="691"/>
      <c r="L23" s="689"/>
      <c r="M23" s="689"/>
      <c r="N23" s="689"/>
      <c r="O23" s="689"/>
      <c r="P23" s="689"/>
      <c r="Q23" s="679"/>
    </row>
    <row r="24" spans="1:17" ht="9.75" customHeight="1">
      <c r="A24" s="679"/>
      <c r="B24" s="680"/>
      <c r="C24" s="717"/>
      <c r="D24" s="718"/>
      <c r="E24" s="703"/>
      <c r="F24" s="703"/>
      <c r="G24" s="703"/>
      <c r="H24" s="703"/>
      <c r="I24" s="703"/>
      <c r="J24" s="705"/>
      <c r="K24" s="691"/>
      <c r="L24" s="689"/>
      <c r="M24" s="689"/>
      <c r="N24" s="689"/>
      <c r="O24" s="689"/>
      <c r="P24" s="689"/>
      <c r="Q24" s="679"/>
    </row>
    <row r="25" spans="1:17" ht="12" customHeight="1">
      <c r="A25" s="679"/>
      <c r="B25" s="680"/>
      <c r="C25" s="717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691"/>
      <c r="L25" s="689"/>
      <c r="M25" s="689"/>
      <c r="N25" s="689"/>
      <c r="O25" s="689"/>
      <c r="P25" s="689"/>
      <c r="Q25" s="679"/>
    </row>
    <row r="26" spans="1:17" ht="11.25" customHeight="1" thickBot="1">
      <c r="A26" s="679"/>
      <c r="B26" s="680"/>
      <c r="C26" s="717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691"/>
      <c r="L26" s="689"/>
      <c r="M26" s="689"/>
      <c r="N26" s="689"/>
      <c r="O26" s="689"/>
      <c r="P26" s="689"/>
      <c r="Q26" s="679"/>
    </row>
    <row r="27" spans="1:17" ht="11.25" customHeight="1">
      <c r="A27" s="8" t="s">
        <v>28</v>
      </c>
      <c r="B27" s="648" t="s">
        <v>81</v>
      </c>
      <c r="C27" s="649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50"/>
    </row>
    <row r="28" spans="1:17" ht="24" customHeight="1">
      <c r="A28" s="612" t="s">
        <v>30</v>
      </c>
      <c r="B28" s="719" t="s">
        <v>47</v>
      </c>
      <c r="C28" s="679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630" t="s">
        <v>256</v>
      </c>
      <c r="L28" s="621" t="s">
        <v>236</v>
      </c>
      <c r="M28" s="621" t="s">
        <v>236</v>
      </c>
      <c r="N28" s="621" t="s">
        <v>236</v>
      </c>
      <c r="O28" s="621" t="s">
        <v>236</v>
      </c>
      <c r="P28" s="621" t="s">
        <v>236</v>
      </c>
      <c r="Q28" s="612" t="s">
        <v>136</v>
      </c>
    </row>
    <row r="29" spans="1:17" ht="16.5" customHeight="1">
      <c r="A29" s="673"/>
      <c r="B29" s="720"/>
      <c r="C29" s="721"/>
      <c r="D29" s="710" t="s">
        <v>5</v>
      </c>
      <c r="E29" s="708">
        <f>SUM(F29:J32)</f>
        <v>210</v>
      </c>
      <c r="F29" s="708">
        <v>70</v>
      </c>
      <c r="G29" s="708">
        <v>35</v>
      </c>
      <c r="H29" s="708">
        <v>35</v>
      </c>
      <c r="I29" s="708">
        <v>35</v>
      </c>
      <c r="J29" s="708">
        <v>35</v>
      </c>
      <c r="K29" s="632"/>
      <c r="L29" s="622"/>
      <c r="M29" s="622"/>
      <c r="N29" s="622"/>
      <c r="O29" s="622"/>
      <c r="P29" s="622"/>
      <c r="Q29" s="673"/>
    </row>
    <row r="30" spans="1:17" ht="1.5" customHeight="1">
      <c r="A30" s="673"/>
      <c r="B30" s="720"/>
      <c r="C30" s="721"/>
      <c r="D30" s="722"/>
      <c r="E30" s="711"/>
      <c r="F30" s="711"/>
      <c r="G30" s="711"/>
      <c r="H30" s="711"/>
      <c r="I30" s="711"/>
      <c r="J30" s="711"/>
      <c r="K30" s="633"/>
      <c r="L30" s="653"/>
      <c r="M30" s="653"/>
      <c r="N30" s="653"/>
      <c r="O30" s="653"/>
      <c r="P30" s="653"/>
      <c r="Q30" s="673"/>
    </row>
    <row r="31" spans="1:17" ht="16.5" customHeight="1">
      <c r="A31" s="673"/>
      <c r="B31" s="720"/>
      <c r="C31" s="721"/>
      <c r="D31" s="722"/>
      <c r="E31" s="711"/>
      <c r="F31" s="711"/>
      <c r="G31" s="711"/>
      <c r="H31" s="711"/>
      <c r="I31" s="711"/>
      <c r="J31" s="711"/>
      <c r="K31" s="638" t="s">
        <v>257</v>
      </c>
      <c r="L31" s="654" t="s">
        <v>236</v>
      </c>
      <c r="M31" s="654" t="s">
        <v>236</v>
      </c>
      <c r="N31" s="654" t="s">
        <v>236</v>
      </c>
      <c r="O31" s="654" t="s">
        <v>236</v>
      </c>
      <c r="P31" s="654" t="s">
        <v>236</v>
      </c>
      <c r="Q31" s="673"/>
    </row>
    <row r="32" spans="1:17" ht="16.5" customHeight="1" thickBot="1">
      <c r="A32" s="674"/>
      <c r="B32" s="720"/>
      <c r="C32" s="721"/>
      <c r="D32" s="722"/>
      <c r="E32" s="711"/>
      <c r="F32" s="711"/>
      <c r="G32" s="711"/>
      <c r="H32" s="711"/>
      <c r="I32" s="711"/>
      <c r="J32" s="711"/>
      <c r="K32" s="638"/>
      <c r="L32" s="655"/>
      <c r="M32" s="655"/>
      <c r="N32" s="655"/>
      <c r="O32" s="655"/>
      <c r="P32" s="655"/>
      <c r="Q32" s="674"/>
    </row>
    <row r="33" spans="1:17" ht="10.5" customHeight="1">
      <c r="A33" s="679"/>
      <c r="B33" s="680" t="s">
        <v>33</v>
      </c>
      <c r="C33" s="717"/>
      <c r="D33" s="700" t="s">
        <v>249</v>
      </c>
      <c r="E33" s="702">
        <f>SUM(F33:J34)</f>
        <v>210</v>
      </c>
      <c r="F33" s="702">
        <f>SUM(F35:F36)</f>
        <v>70</v>
      </c>
      <c r="G33" s="702">
        <f>SUM(G35:G36)</f>
        <v>35</v>
      </c>
      <c r="H33" s="702">
        <f>SUM(H35:H36)</f>
        <v>35</v>
      </c>
      <c r="I33" s="702">
        <f>SUM(I35:I36)</f>
        <v>35</v>
      </c>
      <c r="J33" s="704">
        <f>SUM(J35:J36)</f>
        <v>35</v>
      </c>
      <c r="K33" s="691"/>
      <c r="L33" s="689"/>
      <c r="M33" s="689"/>
      <c r="N33" s="689"/>
      <c r="O33" s="689"/>
      <c r="P33" s="689"/>
      <c r="Q33" s="679"/>
    </row>
    <row r="34" spans="1:17" ht="10.5" customHeight="1">
      <c r="A34" s="679"/>
      <c r="B34" s="680"/>
      <c r="C34" s="717"/>
      <c r="D34" s="718"/>
      <c r="E34" s="703"/>
      <c r="F34" s="703"/>
      <c r="G34" s="703"/>
      <c r="H34" s="703"/>
      <c r="I34" s="703"/>
      <c r="J34" s="705"/>
      <c r="K34" s="691"/>
      <c r="L34" s="689"/>
      <c r="M34" s="689"/>
      <c r="N34" s="689"/>
      <c r="O34" s="689"/>
      <c r="P34" s="689"/>
      <c r="Q34" s="679"/>
    </row>
    <row r="35" spans="1:17" ht="13.5" customHeight="1">
      <c r="A35" s="679"/>
      <c r="B35" s="680"/>
      <c r="C35" s="717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691"/>
      <c r="L35" s="689"/>
      <c r="M35" s="689"/>
      <c r="N35" s="689"/>
      <c r="O35" s="689"/>
      <c r="P35" s="689"/>
      <c r="Q35" s="679"/>
    </row>
    <row r="36" spans="1:17" ht="13.5" customHeight="1" thickBot="1">
      <c r="A36" s="679"/>
      <c r="B36" s="680"/>
      <c r="C36" s="717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691"/>
      <c r="L36" s="689"/>
      <c r="M36" s="689"/>
      <c r="N36" s="689"/>
      <c r="O36" s="689"/>
      <c r="P36" s="689"/>
      <c r="Q36" s="679"/>
    </row>
    <row r="37" spans="1:17" ht="15.75" customHeight="1" thickBot="1">
      <c r="A37" s="8" t="s">
        <v>34</v>
      </c>
      <c r="B37" s="635" t="s">
        <v>147</v>
      </c>
      <c r="C37" s="636"/>
      <c r="D37" s="649"/>
      <c r="E37" s="649"/>
      <c r="F37" s="649"/>
      <c r="G37" s="649"/>
      <c r="H37" s="649"/>
      <c r="I37" s="649"/>
      <c r="J37" s="649"/>
      <c r="K37" s="636"/>
      <c r="L37" s="636"/>
      <c r="M37" s="636"/>
      <c r="N37" s="636"/>
      <c r="O37" s="636"/>
      <c r="P37" s="636"/>
      <c r="Q37" s="637"/>
    </row>
    <row r="38" spans="1:17" ht="23.25" customHeight="1">
      <c r="A38" s="612" t="s">
        <v>36</v>
      </c>
      <c r="B38" s="719" t="s">
        <v>83</v>
      </c>
      <c r="C38" s="679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627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673"/>
      <c r="B39" s="720"/>
      <c r="C39" s="721"/>
      <c r="D39" s="725" t="s">
        <v>212</v>
      </c>
      <c r="E39" s="708">
        <f>SUM(F39:J40)</f>
        <v>546.5</v>
      </c>
      <c r="F39" s="708">
        <f>SUM(F47,F44,F50)</f>
        <v>356.5</v>
      </c>
      <c r="G39" s="708">
        <f>SUM(G47,G44,G50)</f>
        <v>100</v>
      </c>
      <c r="H39" s="708">
        <f>SUM(H47,H44,H50)</f>
        <v>30</v>
      </c>
      <c r="I39" s="708">
        <f>SUM(I47,I44,I50)</f>
        <v>30</v>
      </c>
      <c r="J39" s="708">
        <f>SUM(J47,J44,J50)</f>
        <v>30</v>
      </c>
      <c r="K39" s="723"/>
      <c r="L39" s="727">
        <v>100</v>
      </c>
      <c r="M39" s="727">
        <v>100</v>
      </c>
      <c r="N39" s="727">
        <v>100</v>
      </c>
      <c r="O39" s="727">
        <v>100</v>
      </c>
      <c r="P39" s="727">
        <v>100</v>
      </c>
      <c r="Q39" s="729" t="s">
        <v>132</v>
      </c>
    </row>
    <row r="40" spans="1:17" ht="6" customHeight="1">
      <c r="A40" s="673"/>
      <c r="B40" s="720"/>
      <c r="C40" s="721"/>
      <c r="D40" s="726"/>
      <c r="E40" s="709"/>
      <c r="F40" s="709"/>
      <c r="G40" s="709"/>
      <c r="H40" s="709"/>
      <c r="I40" s="709"/>
      <c r="J40" s="709"/>
      <c r="K40" s="723"/>
      <c r="L40" s="728"/>
      <c r="M40" s="728"/>
      <c r="N40" s="728"/>
      <c r="O40" s="728"/>
      <c r="P40" s="728"/>
      <c r="Q40" s="730"/>
    </row>
    <row r="41" spans="1:17" ht="11.25" customHeight="1">
      <c r="A41" s="673"/>
      <c r="B41" s="720"/>
      <c r="C41" s="721"/>
      <c r="D41" s="726"/>
      <c r="E41" s="708">
        <f>SUM(F41:J42)</f>
        <v>755.4</v>
      </c>
      <c r="F41" s="712">
        <f>SUM(F48,F45,F51)</f>
        <v>465.4</v>
      </c>
      <c r="G41" s="713">
        <f>SUM(G48,G45,G51)</f>
        <v>200</v>
      </c>
      <c r="H41" s="713">
        <f>SUM(H48,H45,H51)</f>
        <v>30</v>
      </c>
      <c r="I41" s="713">
        <f>SUM(I48,I45,I51)</f>
        <v>30</v>
      </c>
      <c r="J41" s="713">
        <f>SUM(J48,J45,J51)</f>
        <v>30</v>
      </c>
      <c r="K41" s="723"/>
      <c r="L41" s="727">
        <v>100</v>
      </c>
      <c r="M41" s="727">
        <v>100</v>
      </c>
      <c r="N41" s="727">
        <v>100</v>
      </c>
      <c r="O41" s="727">
        <v>100</v>
      </c>
      <c r="P41" s="727">
        <v>100</v>
      </c>
      <c r="Q41" s="626" t="s">
        <v>131</v>
      </c>
    </row>
    <row r="42" spans="1:17" ht="6" customHeight="1">
      <c r="A42" s="674"/>
      <c r="B42" s="720"/>
      <c r="C42" s="721"/>
      <c r="D42" s="726"/>
      <c r="E42" s="711"/>
      <c r="F42" s="713"/>
      <c r="G42" s="731"/>
      <c r="H42" s="731"/>
      <c r="I42" s="731"/>
      <c r="J42" s="731"/>
      <c r="K42" s="724"/>
      <c r="L42" s="728"/>
      <c r="M42" s="728"/>
      <c r="N42" s="728"/>
      <c r="O42" s="728"/>
      <c r="P42" s="728"/>
      <c r="Q42" s="626"/>
    </row>
    <row r="43" spans="1:17" ht="20.25" customHeight="1">
      <c r="A43" s="612" t="s">
        <v>82</v>
      </c>
      <c r="B43" s="630" t="s">
        <v>84</v>
      </c>
      <c r="C43" s="732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734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673"/>
      <c r="B44" s="675"/>
      <c r="C44" s="687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735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674"/>
      <c r="B45" s="676"/>
      <c r="C45" s="733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736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612" t="s">
        <v>85</v>
      </c>
      <c r="B46" s="630" t="s">
        <v>86</v>
      </c>
      <c r="C46" s="732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734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673"/>
      <c r="B47" s="675"/>
      <c r="C47" s="687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735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674"/>
      <c r="B48" s="676"/>
      <c r="C48" s="733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736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612" t="s">
        <v>138</v>
      </c>
      <c r="B49" s="630" t="s">
        <v>139</v>
      </c>
      <c r="C49" s="732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734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673"/>
      <c r="B50" s="675"/>
      <c r="C50" s="687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735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674"/>
      <c r="B51" s="676"/>
      <c r="C51" s="733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736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612" t="s">
        <v>64</v>
      </c>
      <c r="B52" s="630" t="s">
        <v>89</v>
      </c>
      <c r="C52" s="732" t="s">
        <v>161</v>
      </c>
      <c r="D52" s="739" t="s">
        <v>259</v>
      </c>
      <c r="E52" s="741">
        <v>920.1</v>
      </c>
      <c r="F52" s="741">
        <f>SUM(F58,F60,F63)</f>
        <v>260.8</v>
      </c>
      <c r="G52" s="741">
        <f>SUM(G55:G56)</f>
        <v>419.3</v>
      </c>
      <c r="H52" s="741">
        <f>SUM(H55:H56)</f>
        <v>80</v>
      </c>
      <c r="I52" s="741">
        <f>SUM(I55:I56)</f>
        <v>80</v>
      </c>
      <c r="J52" s="741">
        <f>SUM(J55:J56)</f>
        <v>80</v>
      </c>
      <c r="K52" s="627"/>
      <c r="L52" s="654"/>
      <c r="M52" s="654"/>
      <c r="N52" s="654"/>
      <c r="O52" s="654"/>
      <c r="P52" s="654"/>
      <c r="Q52" s="626"/>
    </row>
    <row r="53" spans="1:17" ht="6.75" customHeight="1">
      <c r="A53" s="617"/>
      <c r="B53" s="631"/>
      <c r="C53" s="682"/>
      <c r="D53" s="740"/>
      <c r="E53" s="742"/>
      <c r="F53" s="742"/>
      <c r="G53" s="742"/>
      <c r="H53" s="742"/>
      <c r="I53" s="742"/>
      <c r="J53" s="742"/>
      <c r="K53" s="723"/>
      <c r="L53" s="655"/>
      <c r="M53" s="655"/>
      <c r="N53" s="655"/>
      <c r="O53" s="655"/>
      <c r="P53" s="655"/>
      <c r="Q53" s="744"/>
    </row>
    <row r="54" spans="1:17" ht="6.75" customHeight="1">
      <c r="A54" s="617"/>
      <c r="B54" s="631"/>
      <c r="C54" s="682"/>
      <c r="D54" s="740"/>
      <c r="E54" s="743"/>
      <c r="F54" s="743"/>
      <c r="G54" s="743"/>
      <c r="H54" s="743"/>
      <c r="I54" s="743"/>
      <c r="J54" s="743"/>
      <c r="K54" s="723"/>
      <c r="L54" s="655"/>
      <c r="M54" s="655"/>
      <c r="N54" s="655"/>
      <c r="O54" s="655"/>
      <c r="P54" s="655"/>
      <c r="Q54" s="744"/>
    </row>
    <row r="55" spans="1:17" ht="17.25" customHeight="1">
      <c r="A55" s="617"/>
      <c r="B55" s="631"/>
      <c r="C55" s="682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723"/>
      <c r="L55" s="655"/>
      <c r="M55" s="655"/>
      <c r="N55" s="655"/>
      <c r="O55" s="655"/>
      <c r="P55" s="655"/>
      <c r="Q55" s="744"/>
    </row>
    <row r="56" spans="1:17" ht="17.25" customHeight="1">
      <c r="A56" s="614"/>
      <c r="B56" s="737"/>
      <c r="C56" s="738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724"/>
      <c r="L56" s="655"/>
      <c r="M56" s="655"/>
      <c r="N56" s="655"/>
      <c r="O56" s="655"/>
      <c r="P56" s="655"/>
      <c r="Q56" s="744"/>
    </row>
    <row r="57" spans="1:17" ht="24.75" customHeight="1">
      <c r="A57" s="612" t="s">
        <v>87</v>
      </c>
      <c r="B57" s="630" t="s">
        <v>84</v>
      </c>
      <c r="C57" s="732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693" t="s">
        <v>261</v>
      </c>
      <c r="L57" s="654" t="s">
        <v>236</v>
      </c>
      <c r="M57" s="654" t="s">
        <v>213</v>
      </c>
      <c r="N57" s="654" t="s">
        <v>213</v>
      </c>
      <c r="O57" s="654" t="s">
        <v>213</v>
      </c>
      <c r="P57" s="654" t="s">
        <v>213</v>
      </c>
      <c r="Q57" s="746" t="s">
        <v>51</v>
      </c>
    </row>
    <row r="58" spans="1:17" ht="11.25" customHeight="1">
      <c r="A58" s="613"/>
      <c r="B58" s="745"/>
      <c r="C58" s="682"/>
      <c r="D58" s="710" t="s">
        <v>5</v>
      </c>
      <c r="E58" s="711">
        <f>SUM(F58:J59)</f>
        <v>104.4</v>
      </c>
      <c r="F58" s="748">
        <v>104.4</v>
      </c>
      <c r="G58" s="750">
        <v>0</v>
      </c>
      <c r="H58" s="750">
        <v>0</v>
      </c>
      <c r="I58" s="750">
        <v>0</v>
      </c>
      <c r="J58" s="750">
        <v>0</v>
      </c>
      <c r="K58" s="693"/>
      <c r="L58" s="655"/>
      <c r="M58" s="655"/>
      <c r="N58" s="655"/>
      <c r="O58" s="655"/>
      <c r="P58" s="655"/>
      <c r="Q58" s="747"/>
    </row>
    <row r="59" spans="1:17" ht="12.75" customHeight="1">
      <c r="A59" s="614"/>
      <c r="B59" s="737"/>
      <c r="C59" s="738"/>
      <c r="D59" s="722"/>
      <c r="E59" s="709"/>
      <c r="F59" s="749"/>
      <c r="G59" s="731"/>
      <c r="H59" s="731"/>
      <c r="I59" s="731"/>
      <c r="J59" s="731"/>
      <c r="K59" s="693"/>
      <c r="L59" s="655"/>
      <c r="M59" s="655"/>
      <c r="N59" s="655"/>
      <c r="O59" s="655"/>
      <c r="P59" s="655"/>
      <c r="Q59" s="747"/>
    </row>
    <row r="60" spans="1:17" ht="22.5" customHeight="1">
      <c r="A60" s="612" t="s">
        <v>88</v>
      </c>
      <c r="B60" s="630" t="s">
        <v>86</v>
      </c>
      <c r="C60" s="732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693" t="s">
        <v>261</v>
      </c>
      <c r="L60" s="654" t="s">
        <v>236</v>
      </c>
      <c r="M60" s="654" t="s">
        <v>213</v>
      </c>
      <c r="N60" s="654" t="s">
        <v>236</v>
      </c>
      <c r="O60" s="654" t="s">
        <v>236</v>
      </c>
      <c r="P60" s="654" t="s">
        <v>236</v>
      </c>
      <c r="Q60" s="746" t="s">
        <v>51</v>
      </c>
    </row>
    <row r="61" spans="1:17" ht="12" customHeight="1">
      <c r="A61" s="613"/>
      <c r="B61" s="745"/>
      <c r="C61" s="682"/>
      <c r="D61" s="689" t="s">
        <v>5</v>
      </c>
      <c r="E61" s="708">
        <f>SUM(F61:J62)</f>
        <v>332.8</v>
      </c>
      <c r="F61" s="751">
        <v>92.8</v>
      </c>
      <c r="G61" s="713">
        <f>80-80</f>
        <v>0</v>
      </c>
      <c r="H61" s="713">
        <v>80</v>
      </c>
      <c r="I61" s="713">
        <v>80</v>
      </c>
      <c r="J61" s="713">
        <v>80</v>
      </c>
      <c r="K61" s="693"/>
      <c r="L61" s="655"/>
      <c r="M61" s="655"/>
      <c r="N61" s="655"/>
      <c r="O61" s="655"/>
      <c r="P61" s="655"/>
      <c r="Q61" s="747"/>
    </row>
    <row r="62" spans="1:17" ht="12.75" customHeight="1">
      <c r="A62" s="614"/>
      <c r="B62" s="737"/>
      <c r="C62" s="738"/>
      <c r="D62" s="689"/>
      <c r="E62" s="709"/>
      <c r="F62" s="749"/>
      <c r="G62" s="731"/>
      <c r="H62" s="731"/>
      <c r="I62" s="731"/>
      <c r="J62" s="731"/>
      <c r="K62" s="693"/>
      <c r="L62" s="655"/>
      <c r="M62" s="655"/>
      <c r="N62" s="655"/>
      <c r="O62" s="655"/>
      <c r="P62" s="655"/>
      <c r="Q62" s="747"/>
    </row>
    <row r="63" spans="1:17" ht="21" customHeight="1">
      <c r="A63" s="612" t="s">
        <v>140</v>
      </c>
      <c r="B63" s="630" t="s">
        <v>139</v>
      </c>
      <c r="C63" s="732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627" t="s">
        <v>261</v>
      </c>
      <c r="L63" s="621" t="s">
        <v>236</v>
      </c>
      <c r="M63" s="621" t="s">
        <v>236</v>
      </c>
      <c r="N63" s="621" t="s">
        <v>213</v>
      </c>
      <c r="O63" s="621" t="s">
        <v>213</v>
      </c>
      <c r="P63" s="621" t="s">
        <v>213</v>
      </c>
      <c r="Q63" s="612" t="s">
        <v>51</v>
      </c>
    </row>
    <row r="64" spans="1:17" ht="13.5" customHeight="1">
      <c r="A64" s="752"/>
      <c r="B64" s="752"/>
      <c r="C64" s="752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752"/>
      <c r="L64" s="752"/>
      <c r="M64" s="625"/>
      <c r="N64" s="752"/>
      <c r="O64" s="625"/>
      <c r="P64" s="625"/>
      <c r="Q64" s="752"/>
    </row>
    <row r="65" spans="1:17" ht="67.5" customHeight="1">
      <c r="A65" s="205" t="s">
        <v>292</v>
      </c>
      <c r="B65" s="140" t="s">
        <v>289</v>
      </c>
      <c r="C65" s="753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755" t="s">
        <v>291</v>
      </c>
      <c r="L65" s="710">
        <v>0</v>
      </c>
      <c r="M65" s="710">
        <v>100</v>
      </c>
      <c r="N65" s="710">
        <v>0</v>
      </c>
      <c r="O65" s="710">
        <v>0</v>
      </c>
      <c r="P65" s="710">
        <v>0</v>
      </c>
      <c r="Q65" s="710" t="s">
        <v>51</v>
      </c>
    </row>
    <row r="66" spans="1:17" ht="103.5" customHeight="1">
      <c r="A66" s="205" t="s">
        <v>293</v>
      </c>
      <c r="B66" s="200" t="s">
        <v>290</v>
      </c>
      <c r="C66" s="686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756"/>
      <c r="L66" s="688"/>
      <c r="M66" s="688"/>
      <c r="N66" s="688"/>
      <c r="O66" s="688"/>
      <c r="P66" s="688"/>
      <c r="Q66" s="688"/>
    </row>
    <row r="67" spans="1:18" ht="24" customHeight="1">
      <c r="A67" s="185" t="s">
        <v>294</v>
      </c>
      <c r="B67" s="200" t="s">
        <v>204</v>
      </c>
      <c r="C67" s="754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757"/>
      <c r="L67" s="758"/>
      <c r="M67" s="758"/>
      <c r="N67" s="758"/>
      <c r="O67" s="758"/>
      <c r="P67" s="758"/>
      <c r="Q67" s="758"/>
      <c r="R67" s="1">
        <v>150</v>
      </c>
    </row>
    <row r="68" spans="1:17" ht="6.75" customHeight="1">
      <c r="A68" s="612" t="s">
        <v>90</v>
      </c>
      <c r="B68" s="630" t="s">
        <v>92</v>
      </c>
      <c r="C68" s="732" t="s">
        <v>161</v>
      </c>
      <c r="D68" s="759" t="s">
        <v>224</v>
      </c>
      <c r="E68" s="762">
        <f>SUM(F68:J71)</f>
        <v>880.8</v>
      </c>
      <c r="F68" s="762">
        <f>SUM(F75,F78,F79)</f>
        <v>800.8</v>
      </c>
      <c r="G68" s="762">
        <f>SUM(G75,G78)</f>
        <v>20</v>
      </c>
      <c r="H68" s="762">
        <f>SUM(H75,H78)</f>
        <v>20</v>
      </c>
      <c r="I68" s="762">
        <f>SUM(I75,I78)</f>
        <v>20</v>
      </c>
      <c r="J68" s="762">
        <f>SUM(J75,J78)</f>
        <v>20</v>
      </c>
      <c r="K68" s="638"/>
      <c r="L68" s="654"/>
      <c r="M68" s="654"/>
      <c r="N68" s="654"/>
      <c r="O68" s="654"/>
      <c r="P68" s="654"/>
      <c r="Q68" s="626"/>
    </row>
    <row r="69" spans="1:17" ht="6.75" customHeight="1">
      <c r="A69" s="617"/>
      <c r="B69" s="631"/>
      <c r="C69" s="682"/>
      <c r="D69" s="760"/>
      <c r="E69" s="763"/>
      <c r="F69" s="763"/>
      <c r="G69" s="763"/>
      <c r="H69" s="763"/>
      <c r="I69" s="763"/>
      <c r="J69" s="763"/>
      <c r="K69" s="693"/>
      <c r="L69" s="655"/>
      <c r="M69" s="655"/>
      <c r="N69" s="655"/>
      <c r="O69" s="655"/>
      <c r="P69" s="655"/>
      <c r="Q69" s="744"/>
    </row>
    <row r="70" spans="1:17" ht="10.5" customHeight="1">
      <c r="A70" s="617"/>
      <c r="B70" s="631"/>
      <c r="C70" s="682"/>
      <c r="D70" s="760"/>
      <c r="E70" s="763"/>
      <c r="F70" s="763"/>
      <c r="G70" s="763"/>
      <c r="H70" s="763"/>
      <c r="I70" s="763"/>
      <c r="J70" s="763"/>
      <c r="K70" s="693"/>
      <c r="L70" s="655"/>
      <c r="M70" s="655"/>
      <c r="N70" s="655"/>
      <c r="O70" s="655"/>
      <c r="P70" s="655"/>
      <c r="Q70" s="744"/>
    </row>
    <row r="71" spans="1:17" ht="10.5" customHeight="1">
      <c r="A71" s="617"/>
      <c r="B71" s="631"/>
      <c r="C71" s="682"/>
      <c r="D71" s="761"/>
      <c r="E71" s="764"/>
      <c r="F71" s="764"/>
      <c r="G71" s="764"/>
      <c r="H71" s="764"/>
      <c r="I71" s="764"/>
      <c r="J71" s="764"/>
      <c r="K71" s="693"/>
      <c r="L71" s="655"/>
      <c r="M71" s="655"/>
      <c r="N71" s="655"/>
      <c r="O71" s="655"/>
      <c r="P71" s="655"/>
      <c r="Q71" s="744"/>
    </row>
    <row r="72" spans="1:17" ht="14.25" customHeight="1">
      <c r="A72" s="613"/>
      <c r="B72" s="745"/>
      <c r="C72" s="682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693"/>
      <c r="L72" s="655"/>
      <c r="M72" s="655"/>
      <c r="N72" s="655"/>
      <c r="O72" s="655"/>
      <c r="P72" s="655"/>
      <c r="Q72" s="744"/>
    </row>
    <row r="73" spans="1:17" ht="12" customHeight="1">
      <c r="A73" s="614"/>
      <c r="B73" s="737"/>
      <c r="C73" s="738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693"/>
      <c r="L73" s="655"/>
      <c r="M73" s="655"/>
      <c r="N73" s="655"/>
      <c r="O73" s="655"/>
      <c r="P73" s="655"/>
      <c r="Q73" s="744"/>
    </row>
    <row r="74" spans="1:17" ht="24" customHeight="1">
      <c r="A74" s="612" t="s">
        <v>91</v>
      </c>
      <c r="B74" s="630" t="s">
        <v>86</v>
      </c>
      <c r="C74" s="732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638" t="s">
        <v>261</v>
      </c>
      <c r="L74" s="654" t="s">
        <v>236</v>
      </c>
      <c r="M74" s="654" t="s">
        <v>236</v>
      </c>
      <c r="N74" s="654" t="s">
        <v>236</v>
      </c>
      <c r="O74" s="654" t="s">
        <v>236</v>
      </c>
      <c r="P74" s="654" t="s">
        <v>236</v>
      </c>
      <c r="Q74" s="612" t="s">
        <v>142</v>
      </c>
    </row>
    <row r="75" spans="1:17" ht="13.5" customHeight="1">
      <c r="A75" s="613"/>
      <c r="B75" s="745"/>
      <c r="C75" s="664"/>
      <c r="D75" s="689" t="s">
        <v>5</v>
      </c>
      <c r="E75" s="765">
        <f>SUM(F75:J76)</f>
        <v>158.8</v>
      </c>
      <c r="F75" s="751">
        <f>118.8-40</f>
        <v>78.8</v>
      </c>
      <c r="G75" s="751">
        <v>20</v>
      </c>
      <c r="H75" s="751">
        <v>20</v>
      </c>
      <c r="I75" s="751">
        <v>20</v>
      </c>
      <c r="J75" s="751">
        <v>20</v>
      </c>
      <c r="K75" s="693"/>
      <c r="L75" s="655"/>
      <c r="M75" s="655"/>
      <c r="N75" s="655"/>
      <c r="O75" s="655"/>
      <c r="P75" s="655"/>
      <c r="Q75" s="617"/>
    </row>
    <row r="76" spans="1:17" ht="11.25" customHeight="1">
      <c r="A76" s="614"/>
      <c r="B76" s="737"/>
      <c r="C76" s="664"/>
      <c r="D76" s="689"/>
      <c r="E76" s="766"/>
      <c r="F76" s="749"/>
      <c r="G76" s="749"/>
      <c r="H76" s="749"/>
      <c r="I76" s="749"/>
      <c r="J76" s="749"/>
      <c r="K76" s="693"/>
      <c r="L76" s="655"/>
      <c r="M76" s="655"/>
      <c r="N76" s="655"/>
      <c r="O76" s="655"/>
      <c r="P76" s="655"/>
      <c r="Q76" s="618"/>
    </row>
    <row r="77" spans="1:17" ht="22.5" customHeight="1">
      <c r="A77" s="612" t="s">
        <v>141</v>
      </c>
      <c r="B77" s="630" t="s">
        <v>139</v>
      </c>
      <c r="C77" s="679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638" t="s">
        <v>261</v>
      </c>
      <c r="L77" s="654" t="s">
        <v>236</v>
      </c>
      <c r="M77" s="654" t="s">
        <v>213</v>
      </c>
      <c r="N77" s="654" t="s">
        <v>213</v>
      </c>
      <c r="O77" s="654" t="s">
        <v>213</v>
      </c>
      <c r="P77" s="654" t="s">
        <v>213</v>
      </c>
      <c r="Q77" s="612" t="s">
        <v>142</v>
      </c>
    </row>
    <row r="78" spans="1:17" ht="13.5" customHeight="1">
      <c r="A78" s="613"/>
      <c r="B78" s="745"/>
      <c r="C78" s="696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693"/>
      <c r="L78" s="655"/>
      <c r="M78" s="655"/>
      <c r="N78" s="655"/>
      <c r="O78" s="655"/>
      <c r="P78" s="655"/>
      <c r="Q78" s="617"/>
    </row>
    <row r="79" spans="1:17" ht="12" customHeight="1" thickBot="1">
      <c r="A79" s="614"/>
      <c r="B79" s="737"/>
      <c r="C79" s="696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693"/>
      <c r="L79" s="655"/>
      <c r="M79" s="655"/>
      <c r="N79" s="655"/>
      <c r="O79" s="655"/>
      <c r="P79" s="655"/>
      <c r="Q79" s="618"/>
    </row>
    <row r="80" spans="1:17" ht="18" customHeight="1">
      <c r="A80" s="679"/>
      <c r="B80" s="680" t="s">
        <v>48</v>
      </c>
      <c r="C80" s="717"/>
      <c r="D80" s="700" t="s">
        <v>207</v>
      </c>
      <c r="E80" s="702">
        <f aca="true" t="shared" si="16" ref="E80:J80">SUM(E82:E83)</f>
        <v>3252.8</v>
      </c>
      <c r="F80" s="702">
        <f t="shared" si="16"/>
        <v>1883.5</v>
      </c>
      <c r="G80" s="702">
        <f t="shared" si="16"/>
        <v>889.3</v>
      </c>
      <c r="H80" s="702">
        <f t="shared" si="16"/>
        <v>160</v>
      </c>
      <c r="I80" s="702">
        <f t="shared" si="16"/>
        <v>160</v>
      </c>
      <c r="J80" s="704">
        <f t="shared" si="16"/>
        <v>160</v>
      </c>
      <c r="K80" s="767"/>
      <c r="L80" s="693"/>
      <c r="M80" s="693"/>
      <c r="N80" s="693"/>
      <c r="O80" s="693"/>
      <c r="P80" s="693"/>
      <c r="Q80" s="693"/>
    </row>
    <row r="81" spans="1:17" ht="12.75" customHeight="1">
      <c r="A81" s="679"/>
      <c r="B81" s="680"/>
      <c r="C81" s="717"/>
      <c r="D81" s="718"/>
      <c r="E81" s="703"/>
      <c r="F81" s="703"/>
      <c r="G81" s="703"/>
      <c r="H81" s="703"/>
      <c r="I81" s="703"/>
      <c r="J81" s="705"/>
      <c r="K81" s="768"/>
      <c r="L81" s="693"/>
      <c r="M81" s="693"/>
      <c r="N81" s="693"/>
      <c r="O81" s="693"/>
      <c r="P81" s="693"/>
      <c r="Q81" s="693"/>
    </row>
    <row r="82" spans="1:17" ht="14.25" customHeight="1">
      <c r="A82" s="679"/>
      <c r="B82" s="680"/>
      <c r="C82" s="717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768"/>
      <c r="L82" s="693"/>
      <c r="M82" s="693"/>
      <c r="N82" s="693"/>
      <c r="O82" s="693"/>
      <c r="P82" s="693"/>
      <c r="Q82" s="693"/>
    </row>
    <row r="83" spans="1:17" ht="14.25" customHeight="1" thickBot="1">
      <c r="A83" s="696"/>
      <c r="B83" s="697"/>
      <c r="C83" s="770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769"/>
      <c r="L83" s="694"/>
      <c r="M83" s="694"/>
      <c r="N83" s="694"/>
      <c r="O83" s="694"/>
      <c r="P83" s="694"/>
      <c r="Q83" s="694"/>
    </row>
    <row r="84" spans="1:17" ht="13.5" customHeight="1">
      <c r="A84" s="8" t="s">
        <v>38</v>
      </c>
      <c r="B84" s="635" t="s">
        <v>93</v>
      </c>
      <c r="C84" s="636"/>
      <c r="D84" s="649"/>
      <c r="E84" s="649"/>
      <c r="F84" s="649"/>
      <c r="G84" s="649"/>
      <c r="H84" s="649"/>
      <c r="I84" s="649"/>
      <c r="J84" s="649"/>
      <c r="K84" s="636"/>
      <c r="L84" s="636"/>
      <c r="M84" s="636"/>
      <c r="N84" s="636"/>
      <c r="O84" s="636"/>
      <c r="P84" s="636"/>
      <c r="Q84" s="637"/>
    </row>
    <row r="85" spans="1:17" ht="16.5" customHeight="1">
      <c r="A85" s="612" t="s">
        <v>39</v>
      </c>
      <c r="B85" s="630" t="s">
        <v>58</v>
      </c>
      <c r="C85" s="732" t="s">
        <v>161</v>
      </c>
      <c r="D85" s="759" t="s">
        <v>223</v>
      </c>
      <c r="E85" s="741">
        <f aca="true" t="shared" si="17" ref="E85:J85">SUM(E92:E94)</f>
        <v>363716.4000000001</v>
      </c>
      <c r="F85" s="741">
        <f t="shared" si="17"/>
        <v>75088</v>
      </c>
      <c r="G85" s="741">
        <f t="shared" si="17"/>
        <v>75143.5</v>
      </c>
      <c r="H85" s="741">
        <f t="shared" si="17"/>
        <v>67266.90000000001</v>
      </c>
      <c r="I85" s="741">
        <f t="shared" si="17"/>
        <v>73109</v>
      </c>
      <c r="J85" s="741">
        <f t="shared" si="17"/>
        <v>73109</v>
      </c>
      <c r="K85" s="638" t="s">
        <v>262</v>
      </c>
      <c r="L85" s="654" t="s">
        <v>236</v>
      </c>
      <c r="M85" s="654" t="s">
        <v>236</v>
      </c>
      <c r="N85" s="654" t="s">
        <v>236</v>
      </c>
      <c r="O85" s="654" t="s">
        <v>236</v>
      </c>
      <c r="P85" s="654" t="s">
        <v>236</v>
      </c>
      <c r="Q85" s="654" t="s">
        <v>99</v>
      </c>
    </row>
    <row r="86" spans="1:17" ht="13.5" customHeight="1">
      <c r="A86" s="617"/>
      <c r="B86" s="631"/>
      <c r="C86" s="664"/>
      <c r="D86" s="760"/>
      <c r="E86" s="742"/>
      <c r="F86" s="742"/>
      <c r="G86" s="742"/>
      <c r="H86" s="742"/>
      <c r="I86" s="742"/>
      <c r="J86" s="742"/>
      <c r="K86" s="638"/>
      <c r="L86" s="654"/>
      <c r="M86" s="654"/>
      <c r="N86" s="654"/>
      <c r="O86" s="654"/>
      <c r="P86" s="654"/>
      <c r="Q86" s="654"/>
    </row>
    <row r="87" spans="1:17" ht="9" customHeight="1" hidden="1">
      <c r="A87" s="617"/>
      <c r="B87" s="631"/>
      <c r="C87" s="664"/>
      <c r="D87" s="760"/>
      <c r="E87" s="742"/>
      <c r="F87" s="742"/>
      <c r="G87" s="742"/>
      <c r="H87" s="742"/>
      <c r="I87" s="742"/>
      <c r="J87" s="742"/>
      <c r="K87" s="638"/>
      <c r="L87" s="654"/>
      <c r="M87" s="654"/>
      <c r="N87" s="654"/>
      <c r="O87" s="654"/>
      <c r="P87" s="654"/>
      <c r="Q87" s="654"/>
    </row>
    <row r="88" spans="1:17" ht="16.5" customHeight="1">
      <c r="A88" s="617"/>
      <c r="B88" s="631"/>
      <c r="C88" s="664"/>
      <c r="D88" s="761"/>
      <c r="E88" s="743"/>
      <c r="F88" s="743"/>
      <c r="G88" s="743"/>
      <c r="H88" s="743"/>
      <c r="I88" s="743"/>
      <c r="J88" s="743"/>
      <c r="K88" s="638"/>
      <c r="L88" s="654"/>
      <c r="M88" s="654"/>
      <c r="N88" s="654"/>
      <c r="O88" s="654"/>
      <c r="P88" s="654"/>
      <c r="Q88" s="654"/>
    </row>
    <row r="89" spans="1:17" ht="13.5" customHeight="1">
      <c r="A89" s="613"/>
      <c r="B89" s="745"/>
      <c r="C89" s="682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694"/>
      <c r="L89" s="747"/>
      <c r="M89" s="747"/>
      <c r="N89" s="747"/>
      <c r="O89" s="747"/>
      <c r="P89" s="747"/>
      <c r="Q89" s="747"/>
    </row>
    <row r="90" spans="1:17" ht="13.5" customHeight="1">
      <c r="A90" s="614"/>
      <c r="B90" s="737"/>
      <c r="C90" s="738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694"/>
      <c r="L90" s="747"/>
      <c r="M90" s="747"/>
      <c r="N90" s="747"/>
      <c r="O90" s="747"/>
      <c r="P90" s="747"/>
      <c r="Q90" s="747"/>
    </row>
    <row r="91" spans="1:17" ht="26.25" customHeight="1">
      <c r="A91" s="612" t="s">
        <v>94</v>
      </c>
      <c r="B91" s="661" t="s">
        <v>109</v>
      </c>
      <c r="C91" s="772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634" t="s">
        <v>263</v>
      </c>
      <c r="L91" s="619" t="s">
        <v>236</v>
      </c>
      <c r="M91" s="619" t="s">
        <v>236</v>
      </c>
      <c r="N91" s="619" t="s">
        <v>236</v>
      </c>
      <c r="O91" s="619" t="s">
        <v>236</v>
      </c>
      <c r="P91" s="619" t="s">
        <v>236</v>
      </c>
      <c r="Q91" s="623" t="s">
        <v>99</v>
      </c>
    </row>
    <row r="92" spans="1:17" ht="20.25" customHeight="1">
      <c r="A92" s="614"/>
      <c r="B92" s="771"/>
      <c r="C92" s="773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774"/>
      <c r="L92" s="775"/>
      <c r="M92" s="775"/>
      <c r="N92" s="775"/>
      <c r="O92" s="775"/>
      <c r="P92" s="775"/>
      <c r="Q92" s="657"/>
    </row>
    <row r="93" spans="1:17" ht="25.5" customHeight="1">
      <c r="A93" s="612" t="s">
        <v>95</v>
      </c>
      <c r="B93" s="645" t="s">
        <v>100</v>
      </c>
      <c r="C93" s="772" t="s">
        <v>161</v>
      </c>
      <c r="D93" s="779" t="s">
        <v>220</v>
      </c>
      <c r="E93" s="781">
        <f>F93+G93+H93+I93+J93</f>
        <v>240164.70000000007</v>
      </c>
      <c r="F93" s="781">
        <f>F97+F102+F105+F108+F110</f>
        <v>46596.6</v>
      </c>
      <c r="G93" s="781">
        <f>G97+G102+G105+G108+G110</f>
        <v>48759.5</v>
      </c>
      <c r="H93" s="781">
        <f>H97+H102+H105+H108+H110</f>
        <v>46374.80000000001</v>
      </c>
      <c r="I93" s="781">
        <f>I97+I102+I105+I108+I110</f>
        <v>49216.90000000001</v>
      </c>
      <c r="J93" s="781">
        <f>J97+J102+J105+J108+J110</f>
        <v>49216.90000000001</v>
      </c>
      <c r="K93" s="782" t="s">
        <v>263</v>
      </c>
      <c r="L93" s="785">
        <v>100</v>
      </c>
      <c r="M93" s="785">
        <v>100</v>
      </c>
      <c r="N93" s="785">
        <v>100</v>
      </c>
      <c r="O93" s="785">
        <v>100</v>
      </c>
      <c r="P93" s="785">
        <v>100</v>
      </c>
      <c r="Q93" s="623" t="s">
        <v>99</v>
      </c>
    </row>
    <row r="94" spans="1:17" ht="6" customHeight="1">
      <c r="A94" s="617"/>
      <c r="B94" s="776"/>
      <c r="C94" s="778"/>
      <c r="D94" s="780"/>
      <c r="E94" s="657"/>
      <c r="F94" s="657"/>
      <c r="G94" s="657"/>
      <c r="H94" s="657"/>
      <c r="I94" s="657"/>
      <c r="J94" s="657"/>
      <c r="K94" s="783"/>
      <c r="L94" s="786"/>
      <c r="M94" s="786"/>
      <c r="N94" s="786"/>
      <c r="O94" s="786"/>
      <c r="P94" s="786"/>
      <c r="Q94" s="656"/>
    </row>
    <row r="95" spans="1:17" ht="15.75" customHeight="1">
      <c r="A95" s="614"/>
      <c r="B95" s="777"/>
      <c r="C95" s="773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784"/>
      <c r="L95" s="657"/>
      <c r="M95" s="657"/>
      <c r="N95" s="657"/>
      <c r="O95" s="657"/>
      <c r="P95" s="657"/>
      <c r="Q95" s="657"/>
    </row>
    <row r="96" spans="1:17" ht="24.75" customHeight="1">
      <c r="A96" s="612" t="s">
        <v>101</v>
      </c>
      <c r="B96" s="661" t="s">
        <v>103</v>
      </c>
      <c r="C96" s="772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791" t="s">
        <v>264</v>
      </c>
      <c r="L96" s="623" t="s">
        <v>236</v>
      </c>
      <c r="M96" s="623" t="s">
        <v>236</v>
      </c>
      <c r="N96" s="623" t="s">
        <v>236</v>
      </c>
      <c r="O96" s="623" t="s">
        <v>236</v>
      </c>
      <c r="P96" s="623" t="s">
        <v>236</v>
      </c>
      <c r="Q96" s="623" t="s">
        <v>99</v>
      </c>
    </row>
    <row r="97" spans="1:17" ht="19.5" customHeight="1">
      <c r="A97" s="613"/>
      <c r="B97" s="787"/>
      <c r="C97" s="789"/>
      <c r="D97" s="795" t="s">
        <v>6</v>
      </c>
      <c r="E97" s="793">
        <f>SUM(F97:J98)</f>
        <v>8650.4</v>
      </c>
      <c r="F97" s="793">
        <v>1840</v>
      </c>
      <c r="G97" s="793">
        <v>1934</v>
      </c>
      <c r="H97" s="793">
        <f>2100-550</f>
        <v>1550</v>
      </c>
      <c r="I97" s="793">
        <f>2200-536.8</f>
        <v>1663.2</v>
      </c>
      <c r="J97" s="793">
        <f>2200-536.8</f>
        <v>1663.2</v>
      </c>
      <c r="K97" s="783"/>
      <c r="L97" s="792"/>
      <c r="M97" s="792"/>
      <c r="N97" s="792"/>
      <c r="O97" s="792"/>
      <c r="P97" s="792"/>
      <c r="Q97" s="656"/>
    </row>
    <row r="98" spans="1:17" ht="26.25" customHeight="1">
      <c r="A98" s="613"/>
      <c r="B98" s="787"/>
      <c r="C98" s="789"/>
      <c r="D98" s="796"/>
      <c r="E98" s="794"/>
      <c r="F98" s="794"/>
      <c r="G98" s="794"/>
      <c r="H98" s="794"/>
      <c r="I98" s="794"/>
      <c r="J98" s="794"/>
      <c r="K98" s="783"/>
      <c r="L98" s="792"/>
      <c r="M98" s="792"/>
      <c r="N98" s="792"/>
      <c r="O98" s="792"/>
      <c r="P98" s="792"/>
      <c r="Q98" s="656"/>
    </row>
    <row r="99" spans="1:17" ht="6" customHeight="1">
      <c r="A99" s="613"/>
      <c r="B99" s="787"/>
      <c r="C99" s="789"/>
      <c r="D99" s="797"/>
      <c r="E99" s="656"/>
      <c r="F99" s="797"/>
      <c r="G99" s="797"/>
      <c r="H99" s="797"/>
      <c r="I99" s="656"/>
      <c r="J99" s="656"/>
      <c r="K99" s="783"/>
      <c r="L99" s="792"/>
      <c r="M99" s="792"/>
      <c r="N99" s="792"/>
      <c r="O99" s="792"/>
      <c r="P99" s="792"/>
      <c r="Q99" s="656"/>
    </row>
    <row r="100" spans="1:17" ht="12.75" customHeight="1">
      <c r="A100" s="614"/>
      <c r="B100" s="788"/>
      <c r="C100" s="790"/>
      <c r="D100" s="798"/>
      <c r="E100" s="657"/>
      <c r="F100" s="798"/>
      <c r="G100" s="798"/>
      <c r="H100" s="798"/>
      <c r="I100" s="657"/>
      <c r="J100" s="657"/>
      <c r="K100" s="784"/>
      <c r="L100" s="624"/>
      <c r="M100" s="624"/>
      <c r="N100" s="624"/>
      <c r="O100" s="624"/>
      <c r="P100" s="624"/>
      <c r="Q100" s="657"/>
    </row>
    <row r="101" spans="1:17" ht="26.25" customHeight="1">
      <c r="A101" s="612" t="s">
        <v>102</v>
      </c>
      <c r="B101" s="661" t="s">
        <v>61</v>
      </c>
      <c r="C101" s="772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791" t="s">
        <v>263</v>
      </c>
      <c r="L101" s="623" t="s">
        <v>236</v>
      </c>
      <c r="M101" s="623" t="s">
        <v>213</v>
      </c>
      <c r="N101" s="623" t="s">
        <v>213</v>
      </c>
      <c r="O101" s="623" t="s">
        <v>213</v>
      </c>
      <c r="P101" s="623" t="s">
        <v>213</v>
      </c>
      <c r="Q101" s="291"/>
    </row>
    <row r="102" spans="1:17" ht="62.25" customHeight="1">
      <c r="A102" s="613"/>
      <c r="B102" s="787"/>
      <c r="C102" s="799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783"/>
      <c r="L102" s="792"/>
      <c r="M102" s="792"/>
      <c r="N102" s="792"/>
      <c r="O102" s="792"/>
      <c r="P102" s="792"/>
      <c r="Q102" s="245" t="s">
        <v>206</v>
      </c>
    </row>
    <row r="103" spans="1:17" ht="51" customHeight="1" hidden="1">
      <c r="A103" s="614"/>
      <c r="B103" s="788"/>
      <c r="C103" s="773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784"/>
      <c r="L103" s="624"/>
      <c r="M103" s="624"/>
      <c r="N103" s="624"/>
      <c r="O103" s="624"/>
      <c r="P103" s="624"/>
      <c r="Q103" s="245"/>
    </row>
    <row r="104" spans="1:17" ht="28.5" customHeight="1">
      <c r="A104" s="800" t="s">
        <v>104</v>
      </c>
      <c r="B104" s="802" t="s">
        <v>66</v>
      </c>
      <c r="C104" s="772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791" t="s">
        <v>263</v>
      </c>
      <c r="L104" s="623" t="s">
        <v>236</v>
      </c>
      <c r="M104" s="623" t="s">
        <v>236</v>
      </c>
      <c r="N104" s="623" t="s">
        <v>236</v>
      </c>
      <c r="O104" s="623" t="s">
        <v>236</v>
      </c>
      <c r="P104" s="623" t="s">
        <v>236</v>
      </c>
      <c r="Q104" s="645" t="s">
        <v>205</v>
      </c>
    </row>
    <row r="105" spans="1:17" ht="48.75" customHeight="1">
      <c r="A105" s="801"/>
      <c r="B105" s="788"/>
      <c r="C105" s="799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784"/>
      <c r="L105" s="657"/>
      <c r="M105" s="657"/>
      <c r="N105" s="657"/>
      <c r="O105" s="657"/>
      <c r="P105" s="657"/>
      <c r="Q105" s="803"/>
    </row>
    <row r="106" spans="1:17" ht="36.75" customHeight="1" hidden="1">
      <c r="A106" s="81"/>
      <c r="B106" s="293"/>
      <c r="C106" s="773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612" t="s">
        <v>105</v>
      </c>
      <c r="B107" s="661" t="s">
        <v>62</v>
      </c>
      <c r="C107" s="772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791" t="s">
        <v>263</v>
      </c>
      <c r="L107" s="623" t="s">
        <v>236</v>
      </c>
      <c r="M107" s="623" t="s">
        <v>236</v>
      </c>
      <c r="N107" s="623" t="s">
        <v>236</v>
      </c>
      <c r="O107" s="623" t="s">
        <v>236</v>
      </c>
      <c r="P107" s="623" t="s">
        <v>236</v>
      </c>
      <c r="Q107" s="252"/>
    </row>
    <row r="108" spans="1:17" ht="39" customHeight="1">
      <c r="A108" s="801"/>
      <c r="B108" s="788"/>
      <c r="C108" s="773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784"/>
      <c r="L108" s="624"/>
      <c r="M108" s="624"/>
      <c r="N108" s="624"/>
      <c r="O108" s="624"/>
      <c r="P108" s="624"/>
      <c r="Q108" s="252" t="s">
        <v>99</v>
      </c>
    </row>
    <row r="109" spans="1:17" ht="26.25" customHeight="1">
      <c r="A109" s="612" t="s">
        <v>106</v>
      </c>
      <c r="B109" s="661" t="s">
        <v>65</v>
      </c>
      <c r="C109" s="772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791" t="s">
        <v>263</v>
      </c>
      <c r="L109" s="623" t="s">
        <v>236</v>
      </c>
      <c r="M109" s="623" t="s">
        <v>236</v>
      </c>
      <c r="N109" s="623" t="s">
        <v>236</v>
      </c>
      <c r="O109" s="623" t="s">
        <v>236</v>
      </c>
      <c r="P109" s="623" t="s">
        <v>236</v>
      </c>
      <c r="Q109" s="252"/>
    </row>
    <row r="110" spans="1:17" ht="44.25" customHeight="1">
      <c r="A110" s="804"/>
      <c r="B110" s="787"/>
      <c r="C110" s="799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783"/>
      <c r="L110" s="805"/>
      <c r="M110" s="805"/>
      <c r="N110" s="805"/>
      <c r="O110" s="805"/>
      <c r="P110" s="805"/>
      <c r="Q110" s="252" t="s">
        <v>160</v>
      </c>
    </row>
    <row r="111" spans="1:17" ht="34.5" customHeight="1" hidden="1">
      <c r="A111" s="801"/>
      <c r="B111" s="788"/>
      <c r="C111" s="773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784"/>
      <c r="L111" s="806"/>
      <c r="M111" s="806"/>
      <c r="N111" s="806"/>
      <c r="O111" s="806"/>
      <c r="P111" s="806"/>
      <c r="Q111" s="252"/>
    </row>
    <row r="112" spans="1:17" ht="30" customHeight="1">
      <c r="A112" s="612" t="s">
        <v>107</v>
      </c>
      <c r="B112" s="661" t="s">
        <v>59</v>
      </c>
      <c r="C112" s="772" t="s">
        <v>161</v>
      </c>
      <c r="D112" s="809" t="s">
        <v>216</v>
      </c>
      <c r="E112" s="781">
        <f aca="true" t="shared" si="28" ref="E112:J112">SUM(E119:E121)</f>
        <v>357710.1</v>
      </c>
      <c r="F112" s="781">
        <f t="shared" si="28"/>
        <v>70964.8</v>
      </c>
      <c r="G112" s="781">
        <f t="shared" si="28"/>
        <v>70737.59999999999</v>
      </c>
      <c r="H112" s="781">
        <f t="shared" si="28"/>
        <v>66929.1</v>
      </c>
      <c r="I112" s="781">
        <f t="shared" si="28"/>
        <v>74539.29999999999</v>
      </c>
      <c r="J112" s="781">
        <f t="shared" si="28"/>
        <v>74539.29999999999</v>
      </c>
      <c r="K112" s="791" t="s">
        <v>50</v>
      </c>
      <c r="L112" s="623" t="s">
        <v>266</v>
      </c>
      <c r="M112" s="623" t="s">
        <v>266</v>
      </c>
      <c r="N112" s="623" t="s">
        <v>266</v>
      </c>
      <c r="O112" s="623" t="s">
        <v>266</v>
      </c>
      <c r="P112" s="623" t="s">
        <v>266</v>
      </c>
      <c r="Q112" s="645" t="s">
        <v>51</v>
      </c>
    </row>
    <row r="113" spans="1:17" ht="5.25" customHeight="1">
      <c r="A113" s="617"/>
      <c r="B113" s="807"/>
      <c r="C113" s="778"/>
      <c r="D113" s="810"/>
      <c r="E113" s="812"/>
      <c r="F113" s="812"/>
      <c r="G113" s="812"/>
      <c r="H113" s="812"/>
      <c r="I113" s="812"/>
      <c r="J113" s="812"/>
      <c r="K113" s="814"/>
      <c r="L113" s="792"/>
      <c r="M113" s="792"/>
      <c r="N113" s="792"/>
      <c r="O113" s="792"/>
      <c r="P113" s="792"/>
      <c r="Q113" s="776"/>
    </row>
    <row r="114" spans="1:17" ht="15" customHeight="1">
      <c r="A114" s="617"/>
      <c r="B114" s="807"/>
      <c r="C114" s="778"/>
      <c r="D114" s="810"/>
      <c r="E114" s="812"/>
      <c r="F114" s="812"/>
      <c r="G114" s="812"/>
      <c r="H114" s="812"/>
      <c r="I114" s="812"/>
      <c r="J114" s="812"/>
      <c r="K114" s="814"/>
      <c r="L114" s="792"/>
      <c r="M114" s="792"/>
      <c r="N114" s="792"/>
      <c r="O114" s="792"/>
      <c r="P114" s="792"/>
      <c r="Q114" s="776"/>
    </row>
    <row r="115" spans="1:17" ht="4.5" customHeight="1">
      <c r="A115" s="617"/>
      <c r="B115" s="807"/>
      <c r="C115" s="778"/>
      <c r="D115" s="811"/>
      <c r="E115" s="813"/>
      <c r="F115" s="813"/>
      <c r="G115" s="813"/>
      <c r="H115" s="813"/>
      <c r="I115" s="813"/>
      <c r="J115" s="813"/>
      <c r="K115" s="814"/>
      <c r="L115" s="792"/>
      <c r="M115" s="792"/>
      <c r="N115" s="792"/>
      <c r="O115" s="792"/>
      <c r="P115" s="792"/>
      <c r="Q115" s="776"/>
    </row>
    <row r="116" spans="1:17" ht="15" customHeight="1">
      <c r="A116" s="613"/>
      <c r="B116" s="808"/>
      <c r="C116" s="799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783"/>
      <c r="L116" s="805"/>
      <c r="M116" s="805"/>
      <c r="N116" s="805"/>
      <c r="O116" s="805"/>
      <c r="P116" s="805"/>
      <c r="Q116" s="815"/>
    </row>
    <row r="117" spans="1:17" ht="15" customHeight="1">
      <c r="A117" s="614"/>
      <c r="B117" s="771"/>
      <c r="C117" s="773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784"/>
      <c r="L117" s="806"/>
      <c r="M117" s="806"/>
      <c r="N117" s="806"/>
      <c r="O117" s="806"/>
      <c r="P117" s="806"/>
      <c r="Q117" s="777"/>
    </row>
    <row r="118" spans="1:17" ht="21" customHeight="1">
      <c r="A118" s="612" t="s">
        <v>96</v>
      </c>
      <c r="B118" s="661" t="s">
        <v>110</v>
      </c>
      <c r="C118" s="772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791" t="s">
        <v>267</v>
      </c>
      <c r="L118" s="623" t="s">
        <v>236</v>
      </c>
      <c r="M118" s="623" t="s">
        <v>236</v>
      </c>
      <c r="N118" s="623" t="s">
        <v>236</v>
      </c>
      <c r="O118" s="623" t="s">
        <v>236</v>
      </c>
      <c r="P118" s="623" t="s">
        <v>236</v>
      </c>
      <c r="Q118" s="623" t="s">
        <v>51</v>
      </c>
    </row>
    <row r="119" spans="1:17" ht="14.25" customHeight="1">
      <c r="A119" s="613"/>
      <c r="B119" s="808"/>
      <c r="C119" s="799"/>
      <c r="D119" s="795" t="s">
        <v>5</v>
      </c>
      <c r="E119" s="793">
        <f>SUM(F119:J120)</f>
        <v>48435.8</v>
      </c>
      <c r="F119" s="793">
        <v>11383.4</v>
      </c>
      <c r="G119" s="793">
        <f>8645.2+80+3833.6-58+116</f>
        <v>12616.800000000001</v>
      </c>
      <c r="H119" s="793">
        <v>7145.2</v>
      </c>
      <c r="I119" s="793">
        <v>8645.2</v>
      </c>
      <c r="J119" s="793">
        <v>8645.2</v>
      </c>
      <c r="K119" s="783"/>
      <c r="L119" s="805"/>
      <c r="M119" s="805"/>
      <c r="N119" s="805"/>
      <c r="O119" s="805"/>
      <c r="P119" s="805"/>
      <c r="Q119" s="656"/>
    </row>
    <row r="120" spans="1:17" ht="14.25" customHeight="1">
      <c r="A120" s="614"/>
      <c r="B120" s="771"/>
      <c r="C120" s="773"/>
      <c r="D120" s="816"/>
      <c r="E120" s="817"/>
      <c r="F120" s="817"/>
      <c r="G120" s="817"/>
      <c r="H120" s="817"/>
      <c r="I120" s="817"/>
      <c r="J120" s="817"/>
      <c r="K120" s="784"/>
      <c r="L120" s="806"/>
      <c r="M120" s="806"/>
      <c r="N120" s="806"/>
      <c r="O120" s="806"/>
      <c r="P120" s="806"/>
      <c r="Q120" s="657"/>
    </row>
    <row r="121" spans="1:17" ht="24" customHeight="1">
      <c r="A121" s="612" t="s">
        <v>97</v>
      </c>
      <c r="B121" s="661" t="s">
        <v>108</v>
      </c>
      <c r="C121" s="772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634"/>
      <c r="L121" s="818"/>
      <c r="M121" s="818"/>
      <c r="N121" s="818"/>
      <c r="O121" s="818"/>
      <c r="P121" s="818"/>
      <c r="Q121" s="623"/>
    </row>
    <row r="122" spans="1:17" ht="24" customHeight="1">
      <c r="A122" s="614"/>
      <c r="B122" s="771"/>
      <c r="C122" s="773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774"/>
      <c r="L122" s="775"/>
      <c r="M122" s="775"/>
      <c r="N122" s="775"/>
      <c r="O122" s="775"/>
      <c r="P122" s="775"/>
      <c r="Q122" s="657"/>
    </row>
    <row r="123" spans="1:17" ht="26.25" customHeight="1">
      <c r="A123" s="612" t="s">
        <v>112</v>
      </c>
      <c r="B123" s="661" t="s">
        <v>62</v>
      </c>
      <c r="C123" s="639" t="s">
        <v>161</v>
      </c>
      <c r="D123" s="795" t="s">
        <v>6</v>
      </c>
      <c r="E123" s="819">
        <f>SUM(F123:J124)</f>
        <v>307975.1</v>
      </c>
      <c r="F123" s="819">
        <f>62197.9-3100.2</f>
        <v>59097.700000000004</v>
      </c>
      <c r="G123" s="819">
        <f>60023.4-3252.3+1134.2</f>
        <v>57905.299999999996</v>
      </c>
      <c r="H123" s="819">
        <f>61960.9-2377</f>
        <v>59583.9</v>
      </c>
      <c r="I123" s="819">
        <f>66483.2-789.1</f>
        <v>65694.09999999999</v>
      </c>
      <c r="J123" s="819">
        <f>66483.2-789.1</f>
        <v>65694.09999999999</v>
      </c>
      <c r="K123" s="634" t="s">
        <v>263</v>
      </c>
      <c r="L123" s="619" t="s">
        <v>236</v>
      </c>
      <c r="M123" s="619" t="s">
        <v>236</v>
      </c>
      <c r="N123" s="619" t="s">
        <v>236</v>
      </c>
      <c r="O123" s="619" t="s">
        <v>236</v>
      </c>
      <c r="P123" s="619" t="s">
        <v>236</v>
      </c>
      <c r="Q123" s="623" t="s">
        <v>51</v>
      </c>
    </row>
    <row r="124" spans="1:17" ht="21" customHeight="1">
      <c r="A124" s="617"/>
      <c r="B124" s="807"/>
      <c r="C124" s="639"/>
      <c r="D124" s="796"/>
      <c r="E124" s="819"/>
      <c r="F124" s="819"/>
      <c r="G124" s="819"/>
      <c r="H124" s="819"/>
      <c r="I124" s="819"/>
      <c r="J124" s="819"/>
      <c r="K124" s="774"/>
      <c r="L124" s="820"/>
      <c r="M124" s="820"/>
      <c r="N124" s="820"/>
      <c r="O124" s="820"/>
      <c r="P124" s="820"/>
      <c r="Q124" s="792"/>
    </row>
    <row r="125" spans="1:17" ht="24.75" customHeight="1">
      <c r="A125" s="626" t="s">
        <v>111</v>
      </c>
      <c r="B125" s="658" t="s">
        <v>61</v>
      </c>
      <c r="C125" s="639" t="s">
        <v>161</v>
      </c>
      <c r="D125" s="795" t="s">
        <v>6</v>
      </c>
      <c r="E125" s="819">
        <f>SUM(F125:J126)</f>
        <v>483.7</v>
      </c>
      <c r="F125" s="819">
        <v>483.7</v>
      </c>
      <c r="G125" s="819">
        <v>0</v>
      </c>
      <c r="H125" s="819">
        <v>0</v>
      </c>
      <c r="I125" s="819">
        <v>0</v>
      </c>
      <c r="J125" s="819">
        <v>0</v>
      </c>
      <c r="K125" s="634" t="s">
        <v>263</v>
      </c>
      <c r="L125" s="619" t="s">
        <v>236</v>
      </c>
      <c r="M125" s="619" t="s">
        <v>213</v>
      </c>
      <c r="N125" s="619" t="s">
        <v>213</v>
      </c>
      <c r="O125" s="619" t="s">
        <v>213</v>
      </c>
      <c r="P125" s="619" t="s">
        <v>213</v>
      </c>
      <c r="Q125" s="619" t="s">
        <v>51</v>
      </c>
    </row>
    <row r="126" spans="1:17" ht="68.25" customHeight="1">
      <c r="A126" s="626"/>
      <c r="B126" s="658"/>
      <c r="C126" s="639"/>
      <c r="D126" s="816"/>
      <c r="E126" s="821"/>
      <c r="F126" s="821"/>
      <c r="G126" s="821"/>
      <c r="H126" s="821"/>
      <c r="I126" s="821"/>
      <c r="J126" s="821"/>
      <c r="K126" s="774"/>
      <c r="L126" s="820"/>
      <c r="M126" s="820"/>
      <c r="N126" s="820"/>
      <c r="O126" s="820"/>
      <c r="P126" s="820"/>
      <c r="Q126" s="619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612" t="s">
        <v>113</v>
      </c>
      <c r="B128" s="661" t="s">
        <v>60</v>
      </c>
      <c r="C128" s="772" t="s">
        <v>161</v>
      </c>
      <c r="D128" s="779" t="s">
        <v>249</v>
      </c>
      <c r="E128" s="823">
        <f>SUM(F128:J130)</f>
        <v>56787.09999999999</v>
      </c>
      <c r="F128" s="781">
        <f>F131+F132</f>
        <v>13374.299999999997</v>
      </c>
      <c r="G128" s="781">
        <f>G131+G132</f>
        <v>12124.699999999999</v>
      </c>
      <c r="H128" s="781">
        <f>H131+H132</f>
        <v>9357.9</v>
      </c>
      <c r="I128" s="781">
        <f>I131+I132</f>
        <v>10965.099999999999</v>
      </c>
      <c r="J128" s="781">
        <f>J131+J132</f>
        <v>10965.099999999999</v>
      </c>
      <c r="K128" s="661" t="s">
        <v>268</v>
      </c>
      <c r="L128" s="825" t="s">
        <v>269</v>
      </c>
      <c r="M128" s="825" t="s">
        <v>269</v>
      </c>
      <c r="N128" s="825" t="s">
        <v>270</v>
      </c>
      <c r="O128" s="825" t="s">
        <v>270</v>
      </c>
      <c r="P128" s="825" t="s">
        <v>270</v>
      </c>
      <c r="Q128" s="645"/>
    </row>
    <row r="129" spans="1:17" ht="12" customHeight="1">
      <c r="A129" s="617"/>
      <c r="B129" s="807"/>
      <c r="C129" s="778"/>
      <c r="D129" s="822"/>
      <c r="E129" s="824"/>
      <c r="F129" s="812"/>
      <c r="G129" s="812"/>
      <c r="H129" s="812"/>
      <c r="I129" s="812"/>
      <c r="J129" s="812"/>
      <c r="K129" s="807"/>
      <c r="L129" s="826"/>
      <c r="M129" s="826"/>
      <c r="N129" s="826"/>
      <c r="O129" s="826"/>
      <c r="P129" s="826"/>
      <c r="Q129" s="776"/>
    </row>
    <row r="130" spans="1:17" ht="9.75" customHeight="1">
      <c r="A130" s="617"/>
      <c r="B130" s="807"/>
      <c r="C130" s="778"/>
      <c r="D130" s="780"/>
      <c r="E130" s="824"/>
      <c r="F130" s="812"/>
      <c r="G130" s="812"/>
      <c r="H130" s="812"/>
      <c r="I130" s="812"/>
      <c r="J130" s="812"/>
      <c r="K130" s="807"/>
      <c r="L130" s="826"/>
      <c r="M130" s="826"/>
      <c r="N130" s="826"/>
      <c r="O130" s="826"/>
      <c r="P130" s="826"/>
      <c r="Q130" s="776"/>
    </row>
    <row r="131" spans="1:17" ht="12.75" customHeight="1">
      <c r="A131" s="613"/>
      <c r="B131" s="808"/>
      <c r="C131" s="799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808"/>
      <c r="L131" s="826"/>
      <c r="M131" s="826"/>
      <c r="N131" s="826"/>
      <c r="O131" s="826"/>
      <c r="P131" s="826"/>
      <c r="Q131" s="815"/>
    </row>
    <row r="132" spans="1:17" ht="12.75" customHeight="1">
      <c r="A132" s="614"/>
      <c r="B132" s="771"/>
      <c r="C132" s="773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771"/>
      <c r="L132" s="827"/>
      <c r="M132" s="827"/>
      <c r="N132" s="827"/>
      <c r="O132" s="827"/>
      <c r="P132" s="827"/>
      <c r="Q132" s="777"/>
    </row>
    <row r="133" spans="1:17" ht="24" customHeight="1">
      <c r="A133" s="612" t="s">
        <v>98</v>
      </c>
      <c r="B133" s="661" t="s">
        <v>114</v>
      </c>
      <c r="C133" s="772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634" t="s">
        <v>267</v>
      </c>
      <c r="L133" s="825" t="s">
        <v>236</v>
      </c>
      <c r="M133" s="825" t="s">
        <v>236</v>
      </c>
      <c r="N133" s="825" t="s">
        <v>236</v>
      </c>
      <c r="O133" s="825" t="s">
        <v>236</v>
      </c>
      <c r="P133" s="825" t="s">
        <v>236</v>
      </c>
      <c r="Q133" s="619" t="s">
        <v>142</v>
      </c>
    </row>
    <row r="134" spans="1:17" ht="9" customHeight="1">
      <c r="A134" s="613"/>
      <c r="B134" s="808"/>
      <c r="C134" s="799"/>
      <c r="D134" s="795" t="s">
        <v>5</v>
      </c>
      <c r="E134" s="819">
        <f>SUM(F134:J135)</f>
        <v>49574.59999999999</v>
      </c>
      <c r="F134" s="793">
        <f>10904.3-89.1-29.7+1056.9</f>
        <v>11842.399999999998</v>
      </c>
      <c r="G134" s="793">
        <f>9551.8+1105-80</f>
        <v>10576.8</v>
      </c>
      <c r="H134" s="793">
        <v>8051.8</v>
      </c>
      <c r="I134" s="793">
        <v>9551.8</v>
      </c>
      <c r="J134" s="793">
        <v>9551.8</v>
      </c>
      <c r="K134" s="659"/>
      <c r="L134" s="826"/>
      <c r="M134" s="826"/>
      <c r="N134" s="826"/>
      <c r="O134" s="826"/>
      <c r="P134" s="826"/>
      <c r="Q134" s="775"/>
    </row>
    <row r="135" spans="1:17" ht="5.25" customHeight="1">
      <c r="A135" s="614"/>
      <c r="B135" s="771"/>
      <c r="C135" s="773"/>
      <c r="D135" s="816"/>
      <c r="E135" s="821"/>
      <c r="F135" s="817"/>
      <c r="G135" s="817"/>
      <c r="H135" s="817"/>
      <c r="I135" s="817"/>
      <c r="J135" s="817"/>
      <c r="K135" s="659"/>
      <c r="L135" s="827"/>
      <c r="M135" s="827"/>
      <c r="N135" s="827"/>
      <c r="O135" s="827"/>
      <c r="P135" s="827"/>
      <c r="Q135" s="775"/>
    </row>
    <row r="136" spans="1:17" ht="25.5" customHeight="1">
      <c r="A136" s="626" t="s">
        <v>115</v>
      </c>
      <c r="B136" s="658" t="s">
        <v>67</v>
      </c>
      <c r="C136" s="772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791" t="s">
        <v>264</v>
      </c>
      <c r="L136" s="623" t="s">
        <v>236</v>
      </c>
      <c r="M136" s="623" t="s">
        <v>236</v>
      </c>
      <c r="N136" s="623" t="s">
        <v>236</v>
      </c>
      <c r="O136" s="623" t="s">
        <v>236</v>
      </c>
      <c r="P136" s="623" t="s">
        <v>236</v>
      </c>
      <c r="Q136" s="623" t="s">
        <v>142</v>
      </c>
    </row>
    <row r="137" spans="1:17" ht="16.5" customHeight="1">
      <c r="A137" s="744"/>
      <c r="B137" s="828"/>
      <c r="C137" s="799"/>
      <c r="D137" s="795" t="s">
        <v>6</v>
      </c>
      <c r="E137" s="829">
        <f>SUM(F137:J140)</f>
        <v>7212.5</v>
      </c>
      <c r="F137" s="829">
        <v>1531.9</v>
      </c>
      <c r="G137" s="829">
        <v>1547.9</v>
      </c>
      <c r="H137" s="829">
        <f>1606.1-300</f>
        <v>1306.1</v>
      </c>
      <c r="I137" s="829">
        <f>1706.1-292.8</f>
        <v>1413.3</v>
      </c>
      <c r="J137" s="829">
        <f>1706.1-292.8</f>
        <v>1413.3</v>
      </c>
      <c r="K137" s="783"/>
      <c r="L137" s="830"/>
      <c r="M137" s="830"/>
      <c r="N137" s="830"/>
      <c r="O137" s="830"/>
      <c r="P137" s="830"/>
      <c r="Q137" s="656"/>
    </row>
    <row r="138" spans="1:17" ht="11.25" customHeight="1">
      <c r="A138" s="744"/>
      <c r="B138" s="828"/>
      <c r="C138" s="799"/>
      <c r="D138" s="797"/>
      <c r="E138" s="829"/>
      <c r="F138" s="829"/>
      <c r="G138" s="829"/>
      <c r="H138" s="829"/>
      <c r="I138" s="829"/>
      <c r="J138" s="829"/>
      <c r="K138" s="783"/>
      <c r="L138" s="830"/>
      <c r="M138" s="830"/>
      <c r="N138" s="830"/>
      <c r="O138" s="830"/>
      <c r="P138" s="830"/>
      <c r="Q138" s="656"/>
    </row>
    <row r="139" spans="1:17" ht="27.75" customHeight="1" thickBot="1">
      <c r="A139" s="744"/>
      <c r="B139" s="828"/>
      <c r="C139" s="799"/>
      <c r="D139" s="797"/>
      <c r="E139" s="829"/>
      <c r="F139" s="829"/>
      <c r="G139" s="829"/>
      <c r="H139" s="829"/>
      <c r="I139" s="829"/>
      <c r="J139" s="829"/>
      <c r="K139" s="783"/>
      <c r="L139" s="830"/>
      <c r="M139" s="830"/>
      <c r="N139" s="830"/>
      <c r="O139" s="830"/>
      <c r="P139" s="830"/>
      <c r="Q139" s="656"/>
    </row>
    <row r="140" spans="1:17" ht="12.75" customHeight="1" hidden="1">
      <c r="A140" s="744"/>
      <c r="B140" s="828"/>
      <c r="C140" s="799"/>
      <c r="D140" s="797"/>
      <c r="E140" s="793"/>
      <c r="F140" s="793"/>
      <c r="G140" s="793"/>
      <c r="H140" s="793"/>
      <c r="I140" s="793"/>
      <c r="J140" s="793"/>
      <c r="K140" s="784"/>
      <c r="L140" s="831"/>
      <c r="M140" s="831"/>
      <c r="N140" s="831"/>
      <c r="O140" s="831"/>
      <c r="P140" s="831"/>
      <c r="Q140" s="657"/>
    </row>
    <row r="141" spans="1:17" ht="12" customHeight="1">
      <c r="A141" s="679"/>
      <c r="B141" s="832" t="s">
        <v>49</v>
      </c>
      <c r="C141" s="639"/>
      <c r="D141" s="307" t="s">
        <v>11</v>
      </c>
      <c r="E141" s="833">
        <f aca="true" t="shared" si="37" ref="E141:J141">SUM(E143:E144)</f>
        <v>778213.6</v>
      </c>
      <c r="F141" s="833">
        <f t="shared" si="37"/>
        <v>159427.1</v>
      </c>
      <c r="G141" s="833">
        <f t="shared" si="37"/>
        <v>158005.8</v>
      </c>
      <c r="H141" s="833">
        <f t="shared" si="37"/>
        <v>143553.90000000002</v>
      </c>
      <c r="I141" s="833">
        <f t="shared" si="37"/>
        <v>158613.4</v>
      </c>
      <c r="J141" s="835">
        <f t="shared" si="37"/>
        <v>158613.4</v>
      </c>
      <c r="K141" s="629"/>
      <c r="L141" s="837"/>
      <c r="M141" s="837"/>
      <c r="N141" s="837"/>
      <c r="O141" s="837"/>
      <c r="P141" s="837"/>
      <c r="Q141" s="616"/>
    </row>
    <row r="142" spans="1:17" ht="12" customHeight="1">
      <c r="A142" s="679"/>
      <c r="B142" s="832"/>
      <c r="C142" s="639"/>
      <c r="D142" s="308" t="s">
        <v>12</v>
      </c>
      <c r="E142" s="834"/>
      <c r="F142" s="834"/>
      <c r="G142" s="834"/>
      <c r="H142" s="834"/>
      <c r="I142" s="834"/>
      <c r="J142" s="836"/>
      <c r="K142" s="629"/>
      <c r="L142" s="615"/>
      <c r="M142" s="615"/>
      <c r="N142" s="615"/>
      <c r="O142" s="615"/>
      <c r="P142" s="615"/>
      <c r="Q142" s="616"/>
    </row>
    <row r="143" spans="1:17" ht="12" customHeight="1">
      <c r="A143" s="679"/>
      <c r="B143" s="832"/>
      <c r="C143" s="639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629"/>
      <c r="L143" s="615"/>
      <c r="M143" s="615"/>
      <c r="N143" s="615"/>
      <c r="O143" s="615"/>
      <c r="P143" s="615"/>
      <c r="Q143" s="616"/>
    </row>
    <row r="144" spans="1:17" ht="12" customHeight="1" thickBot="1">
      <c r="A144" s="679"/>
      <c r="B144" s="832"/>
      <c r="C144" s="639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629"/>
      <c r="L144" s="615"/>
      <c r="M144" s="615"/>
      <c r="N144" s="615"/>
      <c r="O144" s="615"/>
      <c r="P144" s="615"/>
      <c r="Q144" s="616"/>
    </row>
    <row r="145" spans="1:17" ht="15" customHeight="1">
      <c r="A145" s="97" t="s">
        <v>116</v>
      </c>
      <c r="B145" s="838" t="s">
        <v>117</v>
      </c>
      <c r="C145" s="839"/>
      <c r="D145" s="839"/>
      <c r="E145" s="839"/>
      <c r="F145" s="839"/>
      <c r="G145" s="839"/>
      <c r="H145" s="839"/>
      <c r="I145" s="839"/>
      <c r="J145" s="839"/>
      <c r="K145" s="839"/>
      <c r="L145" s="839"/>
      <c r="M145" s="839"/>
      <c r="N145" s="839"/>
      <c r="O145" s="839"/>
      <c r="P145" s="839"/>
      <c r="Q145" s="840"/>
    </row>
    <row r="146" spans="1:17" ht="81.75" customHeight="1">
      <c r="A146" s="199" t="s">
        <v>118</v>
      </c>
      <c r="B146" s="300" t="s">
        <v>71</v>
      </c>
      <c r="C146" s="616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791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623" t="s">
        <v>51</v>
      </c>
    </row>
    <row r="147" spans="1:17" ht="48" customHeight="1">
      <c r="A147" s="843" t="s">
        <v>287</v>
      </c>
      <c r="B147" s="844" t="s">
        <v>286</v>
      </c>
      <c r="C147" s="660"/>
      <c r="D147" s="615" t="s">
        <v>6</v>
      </c>
      <c r="E147" s="829">
        <f>SUM(F147:J148)</f>
        <v>742.6</v>
      </c>
      <c r="F147" s="819">
        <v>98.5</v>
      </c>
      <c r="G147" s="819">
        <f>136.6-0.4</f>
        <v>136.2</v>
      </c>
      <c r="H147" s="819">
        <f>130+36.7</f>
        <v>166.7</v>
      </c>
      <c r="I147" s="819">
        <f>118.5+52.1</f>
        <v>170.6</v>
      </c>
      <c r="J147" s="819">
        <f>118.5+52.1</f>
        <v>170.6</v>
      </c>
      <c r="K147" s="783"/>
      <c r="L147" s="785">
        <v>100</v>
      </c>
      <c r="M147" s="785">
        <v>100</v>
      </c>
      <c r="N147" s="785">
        <v>100</v>
      </c>
      <c r="O147" s="785">
        <v>100</v>
      </c>
      <c r="P147" s="785">
        <v>100</v>
      </c>
      <c r="Q147" s="841"/>
    </row>
    <row r="148" spans="1:17" ht="30.75" customHeight="1">
      <c r="A148" s="744"/>
      <c r="B148" s="771"/>
      <c r="C148" s="660"/>
      <c r="D148" s="615"/>
      <c r="E148" s="615"/>
      <c r="F148" s="819"/>
      <c r="G148" s="819"/>
      <c r="H148" s="819"/>
      <c r="I148" s="819"/>
      <c r="J148" s="819"/>
      <c r="K148" s="783"/>
      <c r="L148" s="845"/>
      <c r="M148" s="845"/>
      <c r="N148" s="845"/>
      <c r="O148" s="845"/>
      <c r="P148" s="845"/>
      <c r="Q148" s="841"/>
    </row>
    <row r="149" spans="1:17" ht="25.5" customHeight="1">
      <c r="A149" s="204" t="s">
        <v>288</v>
      </c>
      <c r="B149" s="300" t="s">
        <v>204</v>
      </c>
      <c r="C149" s="660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784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842"/>
    </row>
    <row r="150" spans="1:17" ht="21" customHeight="1">
      <c r="A150" s="612" t="s">
        <v>119</v>
      </c>
      <c r="B150" s="661" t="s">
        <v>70</v>
      </c>
      <c r="C150" s="772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791" t="s">
        <v>274</v>
      </c>
      <c r="L150" s="623" t="s">
        <v>275</v>
      </c>
      <c r="M150" s="623" t="s">
        <v>275</v>
      </c>
      <c r="N150" s="623" t="s">
        <v>275</v>
      </c>
      <c r="O150" s="623" t="s">
        <v>275</v>
      </c>
      <c r="P150" s="623" t="s">
        <v>275</v>
      </c>
      <c r="Q150" s="623" t="s">
        <v>51</v>
      </c>
    </row>
    <row r="151" spans="1:17" ht="15.75" customHeight="1">
      <c r="A151" s="673"/>
      <c r="B151" s="808"/>
      <c r="C151" s="846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783"/>
      <c r="L151" s="792"/>
      <c r="M151" s="792"/>
      <c r="N151" s="792"/>
      <c r="O151" s="792"/>
      <c r="P151" s="792"/>
      <c r="Q151" s="656"/>
    </row>
    <row r="152" spans="1:17" ht="21" customHeight="1">
      <c r="A152" s="674"/>
      <c r="B152" s="771"/>
      <c r="C152" s="847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784"/>
      <c r="L152" s="624"/>
      <c r="M152" s="624"/>
      <c r="N152" s="624"/>
      <c r="O152" s="624"/>
      <c r="P152" s="624"/>
      <c r="Q152" s="657"/>
    </row>
    <row r="153" spans="1:17" ht="14.25" customHeight="1">
      <c r="A153" s="612" t="s">
        <v>120</v>
      </c>
      <c r="B153" s="661" t="s">
        <v>133</v>
      </c>
      <c r="C153" s="772" t="s">
        <v>161</v>
      </c>
      <c r="D153" s="779" t="s">
        <v>296</v>
      </c>
      <c r="E153" s="848">
        <f aca="true" t="shared" si="40" ref="E153:J153">SUM(E157,E163)</f>
        <v>715.4</v>
      </c>
      <c r="F153" s="848">
        <f t="shared" si="40"/>
        <v>607.4</v>
      </c>
      <c r="G153" s="848">
        <f t="shared" si="40"/>
        <v>27</v>
      </c>
      <c r="H153" s="848">
        <f t="shared" si="40"/>
        <v>27</v>
      </c>
      <c r="I153" s="848">
        <f t="shared" si="40"/>
        <v>27</v>
      </c>
      <c r="J153" s="848">
        <f t="shared" si="40"/>
        <v>27</v>
      </c>
      <c r="K153" s="791" t="s">
        <v>263</v>
      </c>
      <c r="L153" s="623" t="s">
        <v>236</v>
      </c>
      <c r="M153" s="623" t="s">
        <v>236</v>
      </c>
      <c r="N153" s="623" t="s">
        <v>236</v>
      </c>
      <c r="O153" s="623" t="s">
        <v>236</v>
      </c>
      <c r="P153" s="623" t="s">
        <v>236</v>
      </c>
      <c r="Q153" s="623" t="s">
        <v>51</v>
      </c>
    </row>
    <row r="154" spans="1:17" ht="11.25" customHeight="1">
      <c r="A154" s="617"/>
      <c r="B154" s="807"/>
      <c r="C154" s="778"/>
      <c r="D154" s="780"/>
      <c r="E154" s="848"/>
      <c r="F154" s="848"/>
      <c r="G154" s="848"/>
      <c r="H154" s="848"/>
      <c r="I154" s="848"/>
      <c r="J154" s="848"/>
      <c r="K154" s="814"/>
      <c r="L154" s="792"/>
      <c r="M154" s="792"/>
      <c r="N154" s="792"/>
      <c r="O154" s="792"/>
      <c r="P154" s="792"/>
      <c r="Q154" s="792"/>
    </row>
    <row r="155" spans="1:17" ht="11.25" customHeight="1">
      <c r="A155" s="614"/>
      <c r="B155" s="771"/>
      <c r="C155" s="773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784"/>
      <c r="L155" s="624"/>
      <c r="M155" s="624"/>
      <c r="N155" s="624"/>
      <c r="O155" s="624"/>
      <c r="P155" s="624"/>
      <c r="Q155" s="657"/>
    </row>
    <row r="156" spans="1:17" ht="21" customHeight="1">
      <c r="A156" s="612" t="s">
        <v>121</v>
      </c>
      <c r="B156" s="661" t="s">
        <v>68</v>
      </c>
      <c r="C156" s="772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791" t="s">
        <v>279</v>
      </c>
      <c r="L156" s="849" t="s">
        <v>276</v>
      </c>
      <c r="M156" s="849" t="s">
        <v>277</v>
      </c>
      <c r="N156" s="849" t="s">
        <v>278</v>
      </c>
      <c r="O156" s="849" t="s">
        <v>278</v>
      </c>
      <c r="P156" s="849" t="s">
        <v>278</v>
      </c>
      <c r="Q156" s="623" t="s">
        <v>51</v>
      </c>
    </row>
    <row r="157" spans="1:17" ht="21" customHeight="1">
      <c r="A157" s="613"/>
      <c r="B157" s="808"/>
      <c r="C157" s="799"/>
      <c r="D157" s="795" t="s">
        <v>5</v>
      </c>
      <c r="E157" s="793">
        <f>SUM(F157:H158)</f>
        <v>542.4</v>
      </c>
      <c r="F157" s="793">
        <f>250+292.4</f>
        <v>542.4</v>
      </c>
      <c r="G157" s="793">
        <v>0</v>
      </c>
      <c r="H157" s="793">
        <v>0</v>
      </c>
      <c r="I157" s="793">
        <v>0</v>
      </c>
      <c r="J157" s="793">
        <v>0</v>
      </c>
      <c r="K157" s="783"/>
      <c r="L157" s="792"/>
      <c r="M157" s="792"/>
      <c r="N157" s="792"/>
      <c r="O157" s="792"/>
      <c r="P157" s="792"/>
      <c r="Q157" s="656"/>
    </row>
    <row r="158" spans="1:17" ht="6.75" customHeight="1">
      <c r="A158" s="614"/>
      <c r="B158" s="771"/>
      <c r="C158" s="773"/>
      <c r="D158" s="816"/>
      <c r="E158" s="817"/>
      <c r="F158" s="817"/>
      <c r="G158" s="817"/>
      <c r="H158" s="817"/>
      <c r="I158" s="817"/>
      <c r="J158" s="817"/>
      <c r="K158" s="784"/>
      <c r="L158" s="624"/>
      <c r="M158" s="624"/>
      <c r="N158" s="624"/>
      <c r="O158" s="624"/>
      <c r="P158" s="624"/>
      <c r="Q158" s="657"/>
    </row>
    <row r="159" spans="1:17" ht="24" customHeight="1">
      <c r="A159" s="612" t="s">
        <v>122</v>
      </c>
      <c r="B159" s="661" t="s">
        <v>153</v>
      </c>
      <c r="C159" s="772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791" t="s">
        <v>281</v>
      </c>
      <c r="L159" s="849" t="s">
        <v>280</v>
      </c>
      <c r="M159" s="849" t="s">
        <v>282</v>
      </c>
      <c r="N159" s="849" t="s">
        <v>283</v>
      </c>
      <c r="O159" s="849" t="s">
        <v>283</v>
      </c>
      <c r="P159" s="849" t="s">
        <v>283</v>
      </c>
      <c r="Q159" s="623" t="s">
        <v>51</v>
      </c>
    </row>
    <row r="160" spans="1:17" ht="17.25" customHeight="1">
      <c r="A160" s="613"/>
      <c r="B160" s="808"/>
      <c r="C160" s="799"/>
      <c r="D160" s="795" t="s">
        <v>5</v>
      </c>
      <c r="E160" s="793">
        <f>SUM(F160:H161)</f>
        <v>0</v>
      </c>
      <c r="F160" s="793">
        <f>20-20</f>
        <v>0</v>
      </c>
      <c r="G160" s="793">
        <v>0</v>
      </c>
      <c r="H160" s="793">
        <v>0</v>
      </c>
      <c r="I160" s="793">
        <v>0</v>
      </c>
      <c r="J160" s="793">
        <v>0</v>
      </c>
      <c r="K160" s="783"/>
      <c r="L160" s="805"/>
      <c r="M160" s="805"/>
      <c r="N160" s="805"/>
      <c r="O160" s="805"/>
      <c r="P160" s="805"/>
      <c r="Q160" s="656"/>
    </row>
    <row r="161" spans="1:17" ht="12" customHeight="1">
      <c r="A161" s="614"/>
      <c r="B161" s="771"/>
      <c r="C161" s="773"/>
      <c r="D161" s="816"/>
      <c r="E161" s="817"/>
      <c r="F161" s="817"/>
      <c r="G161" s="817"/>
      <c r="H161" s="817"/>
      <c r="I161" s="817"/>
      <c r="J161" s="817"/>
      <c r="K161" s="784"/>
      <c r="L161" s="806"/>
      <c r="M161" s="806"/>
      <c r="N161" s="806"/>
      <c r="O161" s="806"/>
      <c r="P161" s="806"/>
      <c r="Q161" s="657"/>
    </row>
    <row r="162" spans="1:17" ht="21.75" customHeight="1">
      <c r="A162" s="612" t="s">
        <v>123</v>
      </c>
      <c r="B162" s="661" t="s">
        <v>69</v>
      </c>
      <c r="C162" s="772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791" t="s">
        <v>284</v>
      </c>
      <c r="L162" s="849" t="s">
        <v>236</v>
      </c>
      <c r="M162" s="849" t="s">
        <v>236</v>
      </c>
      <c r="N162" s="849" t="s">
        <v>236</v>
      </c>
      <c r="O162" s="849" t="s">
        <v>236</v>
      </c>
      <c r="P162" s="849" t="s">
        <v>236</v>
      </c>
      <c r="Q162" s="623" t="s">
        <v>51</v>
      </c>
    </row>
    <row r="163" spans="1:17" ht="21.75" customHeight="1">
      <c r="A163" s="613"/>
      <c r="B163" s="808"/>
      <c r="C163" s="799"/>
      <c r="D163" s="795" t="s">
        <v>5</v>
      </c>
      <c r="E163" s="793">
        <f>SUM(F163:J163)</f>
        <v>173</v>
      </c>
      <c r="F163" s="793">
        <v>65</v>
      </c>
      <c r="G163" s="793">
        <v>27</v>
      </c>
      <c r="H163" s="793">
        <v>27</v>
      </c>
      <c r="I163" s="793">
        <v>27</v>
      </c>
      <c r="J163" s="793">
        <v>27</v>
      </c>
      <c r="K163" s="784"/>
      <c r="L163" s="657"/>
      <c r="M163" s="657"/>
      <c r="N163" s="657"/>
      <c r="O163" s="657"/>
      <c r="P163" s="657"/>
      <c r="Q163" s="656"/>
    </row>
    <row r="164" spans="1:17" ht="23.25" customHeight="1" thickBot="1">
      <c r="A164" s="614"/>
      <c r="B164" s="771"/>
      <c r="C164" s="773"/>
      <c r="D164" s="796"/>
      <c r="E164" s="794"/>
      <c r="F164" s="794"/>
      <c r="G164" s="794"/>
      <c r="H164" s="794"/>
      <c r="I164" s="794"/>
      <c r="J164" s="794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657"/>
    </row>
    <row r="165" spans="1:17" ht="12" customHeight="1">
      <c r="A165" s="679"/>
      <c r="B165" s="832" t="s">
        <v>124</v>
      </c>
      <c r="C165" s="639"/>
      <c r="D165" s="307" t="s">
        <v>11</v>
      </c>
      <c r="E165" s="833">
        <f aca="true" t="shared" si="45" ref="E165:J165">SUM(E167:E168)</f>
        <v>14661.5</v>
      </c>
      <c r="F165" s="833">
        <f t="shared" si="45"/>
        <v>3196.6</v>
      </c>
      <c r="G165" s="833">
        <f t="shared" si="45"/>
        <v>3089.2</v>
      </c>
      <c r="H165" s="833">
        <f t="shared" si="45"/>
        <v>2789.3</v>
      </c>
      <c r="I165" s="833">
        <f t="shared" si="45"/>
        <v>2793.2</v>
      </c>
      <c r="J165" s="835">
        <f t="shared" si="45"/>
        <v>2793.2</v>
      </c>
      <c r="K165" s="852"/>
      <c r="L165" s="837"/>
      <c r="M165" s="837"/>
      <c r="N165" s="837"/>
      <c r="O165" s="837"/>
      <c r="P165" s="837"/>
      <c r="Q165" s="616"/>
    </row>
    <row r="166" spans="1:17" ht="12" customHeight="1">
      <c r="A166" s="679"/>
      <c r="B166" s="832"/>
      <c r="C166" s="639"/>
      <c r="D166" s="308" t="s">
        <v>297</v>
      </c>
      <c r="E166" s="834"/>
      <c r="F166" s="834"/>
      <c r="G166" s="834"/>
      <c r="H166" s="834"/>
      <c r="I166" s="834"/>
      <c r="J166" s="836"/>
      <c r="K166" s="853"/>
      <c r="L166" s="615"/>
      <c r="M166" s="615"/>
      <c r="N166" s="615"/>
      <c r="O166" s="615"/>
      <c r="P166" s="615"/>
      <c r="Q166" s="616"/>
    </row>
    <row r="167" spans="1:17" ht="12" customHeight="1">
      <c r="A167" s="679"/>
      <c r="B167" s="832"/>
      <c r="C167" s="639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853"/>
      <c r="L167" s="615"/>
      <c r="M167" s="615"/>
      <c r="N167" s="615"/>
      <c r="O167" s="615"/>
      <c r="P167" s="615"/>
      <c r="Q167" s="616"/>
    </row>
    <row r="168" spans="1:17" ht="12" customHeight="1" thickBot="1">
      <c r="A168" s="679"/>
      <c r="B168" s="850"/>
      <c r="C168" s="851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854"/>
      <c r="L168" s="615"/>
      <c r="M168" s="615"/>
      <c r="N168" s="615"/>
      <c r="O168" s="615"/>
      <c r="P168" s="615"/>
      <c r="Q168" s="616"/>
    </row>
    <row r="169" spans="1:17" ht="15.75" customHeight="1">
      <c r="A169" s="717"/>
      <c r="B169" s="640" t="s">
        <v>13</v>
      </c>
      <c r="C169" s="639"/>
      <c r="D169" s="855" t="s">
        <v>296</v>
      </c>
      <c r="E169" s="857">
        <f aca="true" t="shared" si="46" ref="E169:J169">SUM(E171:E172)</f>
        <v>808286.4000000001</v>
      </c>
      <c r="F169" s="833">
        <f t="shared" si="46"/>
        <v>173578.2</v>
      </c>
      <c r="G169" s="857">
        <f>SUM(G171:G172)</f>
        <v>164366.8</v>
      </c>
      <c r="H169" s="833">
        <f t="shared" si="46"/>
        <v>146738.2</v>
      </c>
      <c r="I169" s="833">
        <f t="shared" si="46"/>
        <v>161801.6</v>
      </c>
      <c r="J169" s="835">
        <f t="shared" si="46"/>
        <v>161801.6</v>
      </c>
      <c r="K169" s="629"/>
      <c r="L169" s="615"/>
      <c r="M169" s="615"/>
      <c r="N169" s="615"/>
      <c r="O169" s="615"/>
      <c r="P169" s="615"/>
      <c r="Q169" s="616"/>
    </row>
    <row r="170" spans="1:17" ht="15.75" customHeight="1">
      <c r="A170" s="717"/>
      <c r="B170" s="640"/>
      <c r="C170" s="639"/>
      <c r="D170" s="856"/>
      <c r="E170" s="858"/>
      <c r="F170" s="834"/>
      <c r="G170" s="858"/>
      <c r="H170" s="834"/>
      <c r="I170" s="834"/>
      <c r="J170" s="836"/>
      <c r="K170" s="629"/>
      <c r="L170" s="615"/>
      <c r="M170" s="615"/>
      <c r="N170" s="615"/>
      <c r="O170" s="615"/>
      <c r="P170" s="615"/>
      <c r="Q170" s="616"/>
    </row>
    <row r="171" spans="1:17" ht="15.75" customHeight="1">
      <c r="A171" s="717"/>
      <c r="B171" s="640"/>
      <c r="C171" s="639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629"/>
      <c r="L171" s="615"/>
      <c r="M171" s="615"/>
      <c r="N171" s="615"/>
      <c r="O171" s="615"/>
      <c r="P171" s="615"/>
      <c r="Q171" s="616"/>
    </row>
    <row r="172" spans="1:17" ht="15.75" customHeight="1" thickBot="1">
      <c r="A172" s="717"/>
      <c r="B172" s="640"/>
      <c r="C172" s="639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629"/>
      <c r="L172" s="615"/>
      <c r="M172" s="615"/>
      <c r="N172" s="615"/>
      <c r="O172" s="615"/>
      <c r="P172" s="615"/>
      <c r="Q172" s="616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F169:F170"/>
    <mergeCell ref="H165:H166"/>
    <mergeCell ref="I165:I166"/>
    <mergeCell ref="J165:J166"/>
    <mergeCell ref="K165:K168"/>
    <mergeCell ref="L165:L168"/>
    <mergeCell ref="L169:L172"/>
    <mergeCell ref="M165:M168"/>
    <mergeCell ref="A165:A168"/>
    <mergeCell ref="B165:B168"/>
    <mergeCell ref="C165:C168"/>
    <mergeCell ref="E165:E166"/>
    <mergeCell ref="F165:F166"/>
    <mergeCell ref="G165:G166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A162:A164"/>
    <mergeCell ref="B162:B164"/>
    <mergeCell ref="C162:C164"/>
    <mergeCell ref="K162:K163"/>
    <mergeCell ref="L162:L163"/>
    <mergeCell ref="M162:M163"/>
    <mergeCell ref="J163:J164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59:A161"/>
    <mergeCell ref="B159:B161"/>
    <mergeCell ref="C159:C161"/>
    <mergeCell ref="K159:K161"/>
    <mergeCell ref="L159:L161"/>
    <mergeCell ref="M159:M161"/>
    <mergeCell ref="J160:J161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6:A158"/>
    <mergeCell ref="B156:B158"/>
    <mergeCell ref="C156:C158"/>
    <mergeCell ref="K156:K158"/>
    <mergeCell ref="L156:L158"/>
    <mergeCell ref="M156:M158"/>
    <mergeCell ref="J157:J158"/>
    <mergeCell ref="L153:L155"/>
    <mergeCell ref="M153:M155"/>
    <mergeCell ref="N153:N155"/>
    <mergeCell ref="O153:O155"/>
    <mergeCell ref="P153:P155"/>
    <mergeCell ref="Q153:Q155"/>
    <mergeCell ref="F153:F154"/>
    <mergeCell ref="G153:G154"/>
    <mergeCell ref="H153:H154"/>
    <mergeCell ref="I153:I154"/>
    <mergeCell ref="J153:J154"/>
    <mergeCell ref="K153:K155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A147:A148"/>
    <mergeCell ref="B147:B148"/>
    <mergeCell ref="D147:D148"/>
    <mergeCell ref="E147:E148"/>
    <mergeCell ref="F147:F148"/>
    <mergeCell ref="G147:G148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I141:I142"/>
    <mergeCell ref="J141:J142"/>
    <mergeCell ref="K141:K144"/>
    <mergeCell ref="L141:L144"/>
    <mergeCell ref="M141:M144"/>
    <mergeCell ref="N141:N144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L136:L140"/>
    <mergeCell ref="M136:M140"/>
    <mergeCell ref="N136:N140"/>
    <mergeCell ref="O136:O140"/>
    <mergeCell ref="P136:P140"/>
    <mergeCell ref="Q136:Q140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G128:G130"/>
    <mergeCell ref="H128:H130"/>
    <mergeCell ref="I128:I130"/>
    <mergeCell ref="J128:J130"/>
    <mergeCell ref="K128:K132"/>
    <mergeCell ref="L128:L132"/>
    <mergeCell ref="A128:A132"/>
    <mergeCell ref="B128:B132"/>
    <mergeCell ref="C128:C132"/>
    <mergeCell ref="D128:D130"/>
    <mergeCell ref="E128:E130"/>
    <mergeCell ref="F128:F130"/>
    <mergeCell ref="L125:L126"/>
    <mergeCell ref="M125:M126"/>
    <mergeCell ref="N125:N126"/>
    <mergeCell ref="O125:O126"/>
    <mergeCell ref="P125:P126"/>
    <mergeCell ref="Q125:Q126"/>
    <mergeCell ref="F125:F126"/>
    <mergeCell ref="G125:G126"/>
    <mergeCell ref="H125:H126"/>
    <mergeCell ref="I125:I126"/>
    <mergeCell ref="J125:J126"/>
    <mergeCell ref="K125:K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G123:G124"/>
    <mergeCell ref="H123:H124"/>
    <mergeCell ref="I123:I124"/>
    <mergeCell ref="J123:J124"/>
    <mergeCell ref="K123:K124"/>
    <mergeCell ref="L123:L124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A121:A122"/>
    <mergeCell ref="B121:B122"/>
    <mergeCell ref="C121:C122"/>
    <mergeCell ref="K121:K122"/>
    <mergeCell ref="L121:L122"/>
    <mergeCell ref="M121:M122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J112:J115"/>
    <mergeCell ref="K112:K117"/>
    <mergeCell ref="L112:L117"/>
    <mergeCell ref="M112:M117"/>
    <mergeCell ref="N112:N117"/>
    <mergeCell ref="O112:O117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A101:A103"/>
    <mergeCell ref="B101:B103"/>
    <mergeCell ref="C101:C103"/>
    <mergeCell ref="K101:K103"/>
    <mergeCell ref="L101:L103"/>
    <mergeCell ref="M101:M103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96:A100"/>
    <mergeCell ref="B96:B100"/>
    <mergeCell ref="C96:C100"/>
    <mergeCell ref="K96:K100"/>
    <mergeCell ref="L96:L100"/>
    <mergeCell ref="M96:M100"/>
    <mergeCell ref="J97:J100"/>
    <mergeCell ref="L93:L95"/>
    <mergeCell ref="M93:M95"/>
    <mergeCell ref="N93:N95"/>
    <mergeCell ref="O93:O95"/>
    <mergeCell ref="P93:P95"/>
    <mergeCell ref="Q93:Q95"/>
    <mergeCell ref="F93:F94"/>
    <mergeCell ref="G93:G94"/>
    <mergeCell ref="H93:H94"/>
    <mergeCell ref="I93:I94"/>
    <mergeCell ref="J93:J94"/>
    <mergeCell ref="K93:K95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G85:G88"/>
    <mergeCell ref="H85:H88"/>
    <mergeCell ref="I85:I88"/>
    <mergeCell ref="J85:J88"/>
    <mergeCell ref="K85:K90"/>
    <mergeCell ref="L85:L90"/>
    <mergeCell ref="A85:A90"/>
    <mergeCell ref="B85:B90"/>
    <mergeCell ref="C85:C90"/>
    <mergeCell ref="D85:D88"/>
    <mergeCell ref="E85:E88"/>
    <mergeCell ref="F85:F88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K80:K83"/>
    <mergeCell ref="L80:L83"/>
    <mergeCell ref="A80:A83"/>
    <mergeCell ref="B80:B83"/>
    <mergeCell ref="C80:C83"/>
    <mergeCell ref="D80:D81"/>
    <mergeCell ref="E80:E81"/>
    <mergeCell ref="F80:F81"/>
    <mergeCell ref="L77:L79"/>
    <mergeCell ref="M77:M79"/>
    <mergeCell ref="N77:N79"/>
    <mergeCell ref="O77:O79"/>
    <mergeCell ref="P77:P79"/>
    <mergeCell ref="Q77:Q79"/>
    <mergeCell ref="I75:I76"/>
    <mergeCell ref="J75:J76"/>
    <mergeCell ref="A77:A79"/>
    <mergeCell ref="B77:B79"/>
    <mergeCell ref="C77:C79"/>
    <mergeCell ref="K77:K79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G68:G71"/>
    <mergeCell ref="H68:H71"/>
    <mergeCell ref="I68:I71"/>
    <mergeCell ref="J68:J71"/>
    <mergeCell ref="K68:K73"/>
    <mergeCell ref="L68:L73"/>
    <mergeCell ref="A68:A73"/>
    <mergeCell ref="B68:B73"/>
    <mergeCell ref="C68:C73"/>
    <mergeCell ref="D68:D71"/>
    <mergeCell ref="E68:E71"/>
    <mergeCell ref="F68:F71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O63:O64"/>
    <mergeCell ref="P63:P64"/>
    <mergeCell ref="H61:H62"/>
    <mergeCell ref="I61:I62"/>
    <mergeCell ref="J61:J62"/>
    <mergeCell ref="O60:O62"/>
    <mergeCell ref="P60:P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G52:G54"/>
    <mergeCell ref="H52:H54"/>
    <mergeCell ref="I52:I54"/>
    <mergeCell ref="J52:J54"/>
    <mergeCell ref="K52:K56"/>
    <mergeCell ref="L52:L56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A43:A45"/>
    <mergeCell ref="B43:B45"/>
    <mergeCell ref="C43:C45"/>
    <mergeCell ref="K43:K45"/>
    <mergeCell ref="A46:A48"/>
    <mergeCell ref="B46:B48"/>
    <mergeCell ref="C46:C48"/>
    <mergeCell ref="K46:K48"/>
    <mergeCell ref="L41:L42"/>
    <mergeCell ref="M41:M42"/>
    <mergeCell ref="N41:N42"/>
    <mergeCell ref="O41:O42"/>
    <mergeCell ref="P41:P42"/>
    <mergeCell ref="Q41:Q42"/>
    <mergeCell ref="E41:E42"/>
    <mergeCell ref="F41:F42"/>
    <mergeCell ref="G41:G42"/>
    <mergeCell ref="H41:H42"/>
    <mergeCell ref="I41:I42"/>
    <mergeCell ref="J41:J42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J39:J40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H33:H34"/>
    <mergeCell ref="I33:I34"/>
    <mergeCell ref="J33:J34"/>
    <mergeCell ref="K33:K36"/>
    <mergeCell ref="L33:L36"/>
    <mergeCell ref="M33:M36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K23:K26"/>
    <mergeCell ref="L23:L26"/>
    <mergeCell ref="G21:G22"/>
    <mergeCell ref="H21:H22"/>
    <mergeCell ref="I21:I22"/>
    <mergeCell ref="J21:J22"/>
    <mergeCell ref="A23:A26"/>
    <mergeCell ref="B23:B26"/>
    <mergeCell ref="C23:C26"/>
    <mergeCell ref="D23:D24"/>
    <mergeCell ref="E23:E24"/>
    <mergeCell ref="F23:F24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K13:K16"/>
    <mergeCell ref="L13:L16"/>
    <mergeCell ref="A13:A16"/>
    <mergeCell ref="B13:B16"/>
    <mergeCell ref="C13:C16"/>
    <mergeCell ref="D13:D14"/>
    <mergeCell ref="E13:E14"/>
    <mergeCell ref="F13:F14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5"/>
  <sheetViews>
    <sheetView zoomScaleSheetLayoutView="100" workbookViewId="0" topLeftCell="A1">
      <pane ySplit="7" topLeftCell="A36" activePane="bottomLeft" state="frozen"/>
      <selection pane="topLeft" activeCell="A1" sqref="A1"/>
      <selection pane="bottomLeft" activeCell="K53" sqref="K53:K55"/>
    </sheetView>
  </sheetViews>
  <sheetFormatPr defaultColWidth="19.7109375" defaultRowHeight="18.75" customHeight="1"/>
  <cols>
    <col min="1" max="1" width="6.28125" style="2" customWidth="1"/>
    <col min="2" max="2" width="27.7109375" style="1" customWidth="1"/>
    <col min="3" max="3" width="6.8515625" style="1" customWidth="1"/>
    <col min="4" max="4" width="8.00390625" style="1" customWidth="1"/>
    <col min="5" max="5" width="8.28125" style="3" customWidth="1"/>
    <col min="6" max="6" width="7.28125" style="3" customWidth="1"/>
    <col min="7" max="7" width="8.140625" style="3" customWidth="1"/>
    <col min="8" max="10" width="8.28125" style="3" customWidth="1"/>
    <col min="11" max="11" width="35.8515625" style="4" customWidth="1"/>
    <col min="12" max="16" width="5.00390625" style="3" customWidth="1"/>
    <col min="17" max="17" width="21.8515625" style="1" customWidth="1"/>
    <col min="18" max="16384" width="19.7109375" style="1" customWidth="1"/>
  </cols>
  <sheetData>
    <row r="1" spans="1:17" ht="26.25" customHeight="1">
      <c r="A1" s="25"/>
      <c r="B1" s="11"/>
      <c r="C1" s="11"/>
      <c r="D1" s="11"/>
      <c r="E1" s="26"/>
      <c r="F1" s="26"/>
      <c r="G1" s="26"/>
      <c r="H1" s="683" t="s">
        <v>447</v>
      </c>
      <c r="I1" s="683"/>
      <c r="J1" s="683"/>
      <c r="K1" s="683"/>
      <c r="L1" s="683"/>
      <c r="M1" s="683"/>
      <c r="N1" s="683"/>
      <c r="O1" s="683"/>
      <c r="P1" s="683"/>
      <c r="Q1" s="683"/>
    </row>
    <row r="2" spans="1:17" ht="51" customHeight="1">
      <c r="A2" s="25"/>
      <c r="B2" s="11"/>
      <c r="C2" s="11"/>
      <c r="D2" s="11"/>
      <c r="E2" s="26"/>
      <c r="F2" s="26"/>
      <c r="G2" s="26"/>
      <c r="H2" s="356"/>
      <c r="I2" s="684" t="s">
        <v>448</v>
      </c>
      <c r="J2" s="684"/>
      <c r="K2" s="684"/>
      <c r="L2" s="684"/>
      <c r="M2" s="684"/>
      <c r="N2" s="684"/>
      <c r="O2" s="684"/>
      <c r="P2" s="684"/>
      <c r="Q2" s="684"/>
    </row>
    <row r="3" spans="1:17" ht="29.25" customHeight="1">
      <c r="A3" s="685" t="s">
        <v>446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</row>
    <row r="4" spans="1:17" ht="11.25" customHeight="1">
      <c r="A4" s="25"/>
      <c r="B4" s="11"/>
      <c r="C4" s="11"/>
      <c r="D4" s="11"/>
      <c r="E4" s="26"/>
      <c r="F4" s="26"/>
      <c r="G4" s="26"/>
      <c r="H4" s="26"/>
      <c r="I4" s="26"/>
      <c r="J4" s="26"/>
      <c r="K4" s="27"/>
      <c r="L4" s="26"/>
      <c r="M4" s="26"/>
      <c r="N4" s="26"/>
      <c r="O4" s="26"/>
      <c r="P4" s="26"/>
      <c r="Q4" s="12"/>
    </row>
    <row r="5" spans="1:17" ht="21.75" customHeight="1">
      <c r="A5" s="667" t="s">
        <v>16</v>
      </c>
      <c r="B5" s="671" t="s">
        <v>15</v>
      </c>
      <c r="C5" s="667" t="s">
        <v>8</v>
      </c>
      <c r="D5" s="667" t="s">
        <v>9</v>
      </c>
      <c r="E5" s="668" t="s">
        <v>410</v>
      </c>
      <c r="F5" s="669"/>
      <c r="G5" s="669"/>
      <c r="H5" s="669"/>
      <c r="I5" s="669"/>
      <c r="J5" s="670"/>
      <c r="K5" s="668" t="s">
        <v>17</v>
      </c>
      <c r="L5" s="669"/>
      <c r="M5" s="669"/>
      <c r="N5" s="669"/>
      <c r="O5" s="669"/>
      <c r="P5" s="670"/>
      <c r="Q5" s="671" t="s">
        <v>163</v>
      </c>
    </row>
    <row r="6" spans="1:17" ht="29.25" customHeight="1">
      <c r="A6" s="667"/>
      <c r="B6" s="672"/>
      <c r="C6" s="667"/>
      <c r="D6" s="667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451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672"/>
    </row>
    <row r="7" spans="1:17" ht="11.25" customHeight="1">
      <c r="A7" s="354">
        <v>1</v>
      </c>
      <c r="B7" s="354">
        <v>2</v>
      </c>
      <c r="C7" s="354">
        <v>3</v>
      </c>
      <c r="D7" s="354">
        <v>4</v>
      </c>
      <c r="E7" s="354">
        <v>5</v>
      </c>
      <c r="F7" s="354">
        <v>6</v>
      </c>
      <c r="G7" s="354">
        <v>7</v>
      </c>
      <c r="H7" s="354">
        <v>8</v>
      </c>
      <c r="I7" s="354">
        <v>9</v>
      </c>
      <c r="J7" s="354">
        <v>10</v>
      </c>
      <c r="K7" s="354">
        <v>11</v>
      </c>
      <c r="L7" s="354">
        <v>12</v>
      </c>
      <c r="M7" s="354">
        <v>13</v>
      </c>
      <c r="N7" s="354">
        <v>14</v>
      </c>
      <c r="O7" s="354">
        <v>15</v>
      </c>
      <c r="P7" s="354">
        <v>16</v>
      </c>
      <c r="Q7" s="354">
        <v>17</v>
      </c>
    </row>
    <row r="8" spans="1:17" ht="25.5" customHeight="1">
      <c r="A8" s="355"/>
      <c r="B8" s="680" t="s">
        <v>489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</row>
    <row r="9" spans="1:17" ht="22.5" customHeight="1">
      <c r="A9" s="21" t="s">
        <v>72</v>
      </c>
      <c r="B9" s="868" t="s">
        <v>481</v>
      </c>
      <c r="C9" s="869"/>
      <c r="D9" s="869"/>
      <c r="E9" s="870"/>
      <c r="F9" s="870"/>
      <c r="G9" s="870"/>
      <c r="H9" s="870"/>
      <c r="I9" s="870"/>
      <c r="J9" s="870"/>
      <c r="K9" s="869"/>
      <c r="L9" s="869"/>
      <c r="M9" s="869"/>
      <c r="N9" s="869"/>
      <c r="O9" s="869"/>
      <c r="P9" s="869"/>
      <c r="Q9" s="871"/>
    </row>
    <row r="10" spans="1:17" ht="21" customHeight="1">
      <c r="A10" s="876" t="s">
        <v>10</v>
      </c>
      <c r="B10" s="861" t="s">
        <v>452</v>
      </c>
      <c r="C10" s="732" t="s">
        <v>162</v>
      </c>
      <c r="D10" s="513" t="s">
        <v>491</v>
      </c>
      <c r="E10" s="532">
        <f>SUM(F10:J10)</f>
        <v>630</v>
      </c>
      <c r="F10" s="532">
        <v>150</v>
      </c>
      <c r="G10" s="532">
        <v>120</v>
      </c>
      <c r="H10" s="532">
        <v>120</v>
      </c>
      <c r="I10" s="532">
        <v>120</v>
      </c>
      <c r="J10" s="546">
        <v>120</v>
      </c>
      <c r="K10" s="912" t="s">
        <v>462</v>
      </c>
      <c r="L10" s="886">
        <v>27</v>
      </c>
      <c r="M10" s="886">
        <v>21</v>
      </c>
      <c r="N10" s="886">
        <v>17</v>
      </c>
      <c r="O10" s="886">
        <v>18</v>
      </c>
      <c r="P10" s="886">
        <v>19</v>
      </c>
      <c r="Q10" s="880" t="s">
        <v>457</v>
      </c>
    </row>
    <row r="11" spans="1:17" ht="17.25" customHeight="1" hidden="1">
      <c r="A11" s="881"/>
      <c r="B11" s="872"/>
      <c r="C11" s="686"/>
      <c r="D11" s="732" t="s">
        <v>214</v>
      </c>
      <c r="E11" s="904">
        <f>SUM(F11:J12)</f>
        <v>630</v>
      </c>
      <c r="F11" s="904">
        <v>150</v>
      </c>
      <c r="G11" s="904">
        <v>120</v>
      </c>
      <c r="H11" s="904">
        <v>120</v>
      </c>
      <c r="I11" s="904">
        <v>120</v>
      </c>
      <c r="J11" s="904">
        <v>120</v>
      </c>
      <c r="K11" s="913"/>
      <c r="L11" s="673"/>
      <c r="M11" s="673"/>
      <c r="N11" s="673"/>
      <c r="O11" s="673"/>
      <c r="P11" s="673"/>
      <c r="Q11" s="687"/>
    </row>
    <row r="12" spans="1:17" ht="24" customHeight="1" hidden="1">
      <c r="A12" s="881"/>
      <c r="B12" s="872"/>
      <c r="C12" s="686"/>
      <c r="D12" s="678"/>
      <c r="E12" s="905"/>
      <c r="F12" s="905"/>
      <c r="G12" s="905"/>
      <c r="H12" s="905"/>
      <c r="I12" s="905"/>
      <c r="J12" s="905"/>
      <c r="K12" s="913"/>
      <c r="L12" s="673"/>
      <c r="M12" s="673"/>
      <c r="N12" s="673"/>
      <c r="O12" s="673"/>
      <c r="P12" s="673"/>
      <c r="Q12" s="687"/>
    </row>
    <row r="13" spans="1:17" ht="18" customHeight="1">
      <c r="A13" s="526"/>
      <c r="B13" s="527"/>
      <c r="C13" s="515"/>
      <c r="D13" s="512" t="s">
        <v>5</v>
      </c>
      <c r="E13" s="548">
        <v>630</v>
      </c>
      <c r="F13" s="548">
        <v>150</v>
      </c>
      <c r="G13" s="548">
        <v>120</v>
      </c>
      <c r="H13" s="548">
        <v>120</v>
      </c>
      <c r="I13" s="548">
        <v>120</v>
      </c>
      <c r="J13" s="548">
        <v>120</v>
      </c>
      <c r="K13" s="872"/>
      <c r="L13" s="673"/>
      <c r="M13" s="673"/>
      <c r="N13" s="673"/>
      <c r="O13" s="673"/>
      <c r="P13" s="673"/>
      <c r="Q13" s="687"/>
    </row>
    <row r="14" spans="1:17" ht="17.25" customHeight="1">
      <c r="A14" s="526"/>
      <c r="B14" s="527"/>
      <c r="C14" s="515"/>
      <c r="D14" s="512" t="s">
        <v>6</v>
      </c>
      <c r="E14" s="530">
        <v>0</v>
      </c>
      <c r="F14" s="548">
        <v>0</v>
      </c>
      <c r="G14" s="548">
        <v>0</v>
      </c>
      <c r="H14" s="548">
        <v>0</v>
      </c>
      <c r="I14" s="548">
        <v>0</v>
      </c>
      <c r="J14" s="548">
        <v>0</v>
      </c>
      <c r="K14" s="890"/>
      <c r="L14" s="674"/>
      <c r="M14" s="674"/>
      <c r="N14" s="674"/>
      <c r="O14" s="674"/>
      <c r="P14" s="674"/>
      <c r="Q14" s="733"/>
    </row>
    <row r="15" spans="1:17" ht="13.5" customHeight="1">
      <c r="A15" s="21" t="s">
        <v>24</v>
      </c>
      <c r="B15" s="873" t="s">
        <v>479</v>
      </c>
      <c r="C15" s="873"/>
      <c r="D15" s="874"/>
      <c r="E15" s="874"/>
      <c r="F15" s="874"/>
      <c r="G15" s="874"/>
      <c r="H15" s="874"/>
      <c r="I15" s="874"/>
      <c r="J15" s="874"/>
      <c r="K15" s="873"/>
      <c r="L15" s="873"/>
      <c r="M15" s="873"/>
      <c r="N15" s="873"/>
      <c r="O15" s="873"/>
      <c r="P15" s="873"/>
      <c r="Q15" s="873"/>
    </row>
    <row r="16" spans="1:17" ht="26.25" customHeight="1">
      <c r="A16" s="876" t="s">
        <v>26</v>
      </c>
      <c r="B16" s="861" t="s">
        <v>453</v>
      </c>
      <c r="C16" s="883" t="s">
        <v>162</v>
      </c>
      <c r="D16" s="513" t="s">
        <v>491</v>
      </c>
      <c r="E16" s="532">
        <f>SUM(F16:J16)</f>
        <v>600</v>
      </c>
      <c r="F16" s="532">
        <v>0</v>
      </c>
      <c r="G16" s="532">
        <v>0</v>
      </c>
      <c r="H16" s="532">
        <v>200</v>
      </c>
      <c r="I16" s="532">
        <v>200</v>
      </c>
      <c r="J16" s="546">
        <v>200</v>
      </c>
      <c r="K16" s="755" t="s">
        <v>460</v>
      </c>
      <c r="L16" s="886">
        <v>20</v>
      </c>
      <c r="M16" s="886">
        <v>55.7</v>
      </c>
      <c r="N16" s="886">
        <v>30</v>
      </c>
      <c r="O16" s="886">
        <v>40</v>
      </c>
      <c r="P16" s="886">
        <v>50</v>
      </c>
      <c r="Q16" s="865" t="s">
        <v>470</v>
      </c>
    </row>
    <row r="17" spans="1:17" ht="6" customHeight="1" hidden="1">
      <c r="A17" s="881"/>
      <c r="B17" s="872"/>
      <c r="C17" s="884"/>
      <c r="D17" s="863" t="s">
        <v>217</v>
      </c>
      <c r="E17" s="750">
        <f>SUM(F17:J18)</f>
        <v>0</v>
      </c>
      <c r="F17" s="750"/>
      <c r="G17" s="750"/>
      <c r="H17" s="750"/>
      <c r="I17" s="750"/>
      <c r="J17" s="889"/>
      <c r="K17" s="756"/>
      <c r="L17" s="881"/>
      <c r="M17" s="881"/>
      <c r="N17" s="881"/>
      <c r="O17" s="881"/>
      <c r="P17" s="881"/>
      <c r="Q17" s="687"/>
    </row>
    <row r="18" spans="1:17" ht="6.75" customHeight="1" hidden="1">
      <c r="A18" s="881"/>
      <c r="B18" s="872"/>
      <c r="C18" s="884"/>
      <c r="D18" s="863"/>
      <c r="E18" s="750"/>
      <c r="F18" s="750"/>
      <c r="G18" s="750"/>
      <c r="H18" s="750"/>
      <c r="I18" s="750"/>
      <c r="J18" s="889"/>
      <c r="K18" s="756"/>
      <c r="L18" s="881"/>
      <c r="M18" s="881"/>
      <c r="N18" s="881"/>
      <c r="O18" s="881"/>
      <c r="P18" s="881"/>
      <c r="Q18" s="687"/>
    </row>
    <row r="19" spans="1:17" ht="15" customHeight="1" hidden="1">
      <c r="A19" s="881"/>
      <c r="B19" s="872"/>
      <c r="C19" s="884"/>
      <c r="D19" s="863"/>
      <c r="E19" s="518">
        <f>SUM(F19:J19)</f>
        <v>0</v>
      </c>
      <c r="F19" s="518"/>
      <c r="G19" s="518"/>
      <c r="H19" s="518"/>
      <c r="I19" s="518"/>
      <c r="J19" s="553"/>
      <c r="K19" s="756"/>
      <c r="L19" s="881"/>
      <c r="M19" s="881"/>
      <c r="N19" s="881"/>
      <c r="O19" s="881"/>
      <c r="P19" s="881"/>
      <c r="Q19" s="687"/>
    </row>
    <row r="20" spans="1:17" ht="22.5" customHeight="1" hidden="1">
      <c r="A20" s="881"/>
      <c r="B20" s="872"/>
      <c r="C20" s="884"/>
      <c r="D20" s="863"/>
      <c r="E20" s="518">
        <f>SUM(F20:J20)</f>
        <v>0</v>
      </c>
      <c r="F20" s="518"/>
      <c r="G20" s="518"/>
      <c r="H20" s="518"/>
      <c r="I20" s="518"/>
      <c r="J20" s="553"/>
      <c r="K20" s="756"/>
      <c r="L20" s="881"/>
      <c r="M20" s="881"/>
      <c r="N20" s="881"/>
      <c r="O20" s="881"/>
      <c r="P20" s="881"/>
      <c r="Q20" s="687"/>
    </row>
    <row r="21" spans="1:17" ht="15.75" customHeight="1">
      <c r="A21" s="881"/>
      <c r="B21" s="872"/>
      <c r="C21" s="884"/>
      <c r="D21" s="556" t="s">
        <v>5</v>
      </c>
      <c r="E21" s="548">
        <f>SUM(F21:J21)</f>
        <v>600</v>
      </c>
      <c r="F21" s="548">
        <v>0</v>
      </c>
      <c r="G21" s="548">
        <v>0</v>
      </c>
      <c r="H21" s="548">
        <v>200</v>
      </c>
      <c r="I21" s="548">
        <v>200</v>
      </c>
      <c r="J21" s="534">
        <v>200</v>
      </c>
      <c r="K21" s="756"/>
      <c r="L21" s="881"/>
      <c r="M21" s="881"/>
      <c r="N21" s="881"/>
      <c r="O21" s="881"/>
      <c r="P21" s="881"/>
      <c r="Q21" s="687"/>
    </row>
    <row r="22" spans="1:17" ht="13.5" customHeight="1">
      <c r="A22" s="882"/>
      <c r="B22" s="890"/>
      <c r="C22" s="885"/>
      <c r="D22" s="557" t="s">
        <v>6</v>
      </c>
      <c r="E22" s="530">
        <v>0</v>
      </c>
      <c r="F22" s="554">
        <v>0</v>
      </c>
      <c r="G22" s="554">
        <v>0</v>
      </c>
      <c r="H22" s="554">
        <v>0</v>
      </c>
      <c r="I22" s="554">
        <v>0</v>
      </c>
      <c r="J22" s="554">
        <v>0</v>
      </c>
      <c r="K22" s="757"/>
      <c r="L22" s="882"/>
      <c r="M22" s="882"/>
      <c r="N22" s="882"/>
      <c r="O22" s="882"/>
      <c r="P22" s="882"/>
      <c r="Q22" s="733"/>
    </row>
    <row r="23" spans="1:17" ht="27.75" customHeight="1">
      <c r="A23" s="21" t="s">
        <v>28</v>
      </c>
      <c r="B23" s="873" t="s">
        <v>482</v>
      </c>
      <c r="C23" s="873"/>
      <c r="D23" s="887"/>
      <c r="E23" s="888"/>
      <c r="F23" s="888"/>
      <c r="G23" s="888"/>
      <c r="H23" s="888"/>
      <c r="I23" s="888"/>
      <c r="J23" s="888"/>
      <c r="K23" s="873"/>
      <c r="L23" s="873"/>
      <c r="M23" s="873"/>
      <c r="N23" s="873"/>
      <c r="O23" s="873"/>
      <c r="P23" s="873"/>
      <c r="Q23" s="873"/>
    </row>
    <row r="24" spans="1:17" ht="27.75" customHeight="1">
      <c r="A24" s="876" t="s">
        <v>30</v>
      </c>
      <c r="B24" s="861" t="s">
        <v>454</v>
      </c>
      <c r="C24" s="732" t="s">
        <v>162</v>
      </c>
      <c r="D24" s="513" t="s">
        <v>491</v>
      </c>
      <c r="E24" s="532">
        <f>SUM(F24:J24)</f>
        <v>343</v>
      </c>
      <c r="F24" s="532">
        <v>75</v>
      </c>
      <c r="G24" s="532">
        <v>67</v>
      </c>
      <c r="H24" s="532">
        <v>67</v>
      </c>
      <c r="I24" s="532">
        <v>67</v>
      </c>
      <c r="J24" s="546">
        <v>67</v>
      </c>
      <c r="K24" s="914" t="s">
        <v>474</v>
      </c>
      <c r="L24" s="886">
        <v>1</v>
      </c>
      <c r="M24" s="886">
        <v>1</v>
      </c>
      <c r="N24" s="886">
        <v>1</v>
      </c>
      <c r="O24" s="886">
        <v>1</v>
      </c>
      <c r="P24" s="886">
        <v>1</v>
      </c>
      <c r="Q24" s="865" t="s">
        <v>457</v>
      </c>
    </row>
    <row r="25" spans="1:17" ht="15.75" customHeight="1">
      <c r="A25" s="877"/>
      <c r="B25" s="862"/>
      <c r="C25" s="664"/>
      <c r="D25" s="564" t="s">
        <v>5</v>
      </c>
      <c r="E25" s="548">
        <f>SUM(F25:J25)</f>
        <v>343</v>
      </c>
      <c r="F25" s="548">
        <v>75</v>
      </c>
      <c r="G25" s="548">
        <v>67</v>
      </c>
      <c r="H25" s="548">
        <v>67</v>
      </c>
      <c r="I25" s="548">
        <v>67</v>
      </c>
      <c r="J25" s="534">
        <v>67</v>
      </c>
      <c r="K25" s="917"/>
      <c r="L25" s="653"/>
      <c r="M25" s="653"/>
      <c r="N25" s="653"/>
      <c r="O25" s="653"/>
      <c r="P25" s="653"/>
      <c r="Q25" s="866"/>
    </row>
    <row r="26" spans="1:17" ht="20.25" customHeight="1">
      <c r="A26" s="877"/>
      <c r="B26" s="862"/>
      <c r="C26" s="664"/>
      <c r="D26" s="556" t="s">
        <v>6</v>
      </c>
      <c r="E26" s="548">
        <v>0</v>
      </c>
      <c r="F26" s="548">
        <v>0</v>
      </c>
      <c r="G26" s="548">
        <v>0</v>
      </c>
      <c r="H26" s="548">
        <v>0</v>
      </c>
      <c r="I26" s="548">
        <v>0</v>
      </c>
      <c r="J26" s="548">
        <v>0</v>
      </c>
      <c r="K26" s="914" t="s">
        <v>473</v>
      </c>
      <c r="L26" s="886">
        <v>1</v>
      </c>
      <c r="M26" s="886">
        <v>2</v>
      </c>
      <c r="N26" s="886">
        <v>2</v>
      </c>
      <c r="O26" s="886">
        <v>2</v>
      </c>
      <c r="P26" s="886">
        <v>2</v>
      </c>
      <c r="Q26" s="866"/>
    </row>
    <row r="27" spans="1:17" ht="13.5" customHeight="1">
      <c r="A27" s="877"/>
      <c r="B27" s="862"/>
      <c r="C27" s="664"/>
      <c r="D27" s="556"/>
      <c r="E27" s="518"/>
      <c r="F27" s="518"/>
      <c r="G27" s="518"/>
      <c r="H27" s="518"/>
      <c r="I27" s="518"/>
      <c r="J27" s="518"/>
      <c r="K27" s="915"/>
      <c r="L27" s="622"/>
      <c r="M27" s="622"/>
      <c r="N27" s="622"/>
      <c r="O27" s="622"/>
      <c r="P27" s="622"/>
      <c r="Q27" s="866"/>
    </row>
    <row r="28" spans="1:17" ht="20.25" customHeight="1">
      <c r="A28" s="878"/>
      <c r="B28" s="879"/>
      <c r="C28" s="678"/>
      <c r="D28" s="557"/>
      <c r="E28" s="517"/>
      <c r="F28" s="517"/>
      <c r="G28" s="517"/>
      <c r="H28" s="517"/>
      <c r="I28" s="517"/>
      <c r="J28" s="517"/>
      <c r="K28" s="916"/>
      <c r="L28" s="653"/>
      <c r="M28" s="653"/>
      <c r="N28" s="653"/>
      <c r="O28" s="653"/>
      <c r="P28" s="653"/>
      <c r="Q28" s="867"/>
    </row>
    <row r="29" spans="1:17" ht="12.75" customHeight="1">
      <c r="A29" s="21" t="s">
        <v>34</v>
      </c>
      <c r="B29" s="873" t="s">
        <v>459</v>
      </c>
      <c r="C29" s="873"/>
      <c r="D29" s="874"/>
      <c r="E29" s="874"/>
      <c r="F29" s="874"/>
      <c r="G29" s="874"/>
      <c r="H29" s="874"/>
      <c r="I29" s="874"/>
      <c r="J29" s="874"/>
      <c r="K29" s="873"/>
      <c r="L29" s="873"/>
      <c r="M29" s="873"/>
      <c r="N29" s="873"/>
      <c r="O29" s="873"/>
      <c r="P29" s="873"/>
      <c r="Q29" s="873"/>
    </row>
    <row r="30" spans="1:17" ht="26.25" customHeight="1">
      <c r="A30" s="457" t="s">
        <v>36</v>
      </c>
      <c r="B30" s="861" t="s">
        <v>455</v>
      </c>
      <c r="C30" s="178" t="s">
        <v>162</v>
      </c>
      <c r="D30" s="513" t="s">
        <v>491</v>
      </c>
      <c r="E30" s="528">
        <f aca="true" t="shared" si="0" ref="E30:J30">SUM(E31:E32)</f>
        <v>4494.57</v>
      </c>
      <c r="F30" s="528">
        <f t="shared" si="0"/>
        <v>1011.63</v>
      </c>
      <c r="G30" s="561">
        <f t="shared" si="0"/>
        <v>853.44</v>
      </c>
      <c r="H30" s="561">
        <f t="shared" si="0"/>
        <v>876.5</v>
      </c>
      <c r="I30" s="561">
        <f t="shared" si="0"/>
        <v>876.5</v>
      </c>
      <c r="J30" s="561">
        <f t="shared" si="0"/>
        <v>876.5</v>
      </c>
      <c r="K30" s="755" t="s">
        <v>465</v>
      </c>
      <c r="L30" s="892">
        <v>46</v>
      </c>
      <c r="M30" s="892">
        <v>35</v>
      </c>
      <c r="N30" s="892">
        <v>36</v>
      </c>
      <c r="O30" s="892">
        <v>37</v>
      </c>
      <c r="P30" s="892">
        <v>38</v>
      </c>
      <c r="Q30" s="865"/>
    </row>
    <row r="31" spans="1:17" ht="13.5" customHeight="1">
      <c r="A31" s="463"/>
      <c r="B31" s="862"/>
      <c r="C31" s="558"/>
      <c r="D31" s="512" t="s">
        <v>5</v>
      </c>
      <c r="E31" s="548">
        <f aca="true" t="shared" si="1" ref="E31:E42">SUM(F31:J31)</f>
        <v>3162.4700000000003</v>
      </c>
      <c r="F31" s="548">
        <f>F34+F36+F39+F42</f>
        <v>763.03</v>
      </c>
      <c r="G31" s="534">
        <f>G34+G36+G39+G42</f>
        <v>604.84</v>
      </c>
      <c r="H31" s="534">
        <f>H34+H36+H39+H42</f>
        <v>598.2</v>
      </c>
      <c r="I31" s="534">
        <f>I34+I36+I39+I42</f>
        <v>598.2</v>
      </c>
      <c r="J31" s="534">
        <f>J34+J36+J39+J42</f>
        <v>598.2</v>
      </c>
      <c r="K31" s="910"/>
      <c r="L31" s="893"/>
      <c r="M31" s="893"/>
      <c r="N31" s="893"/>
      <c r="O31" s="893"/>
      <c r="P31" s="893"/>
      <c r="Q31" s="866"/>
    </row>
    <row r="32" spans="1:17" ht="18" customHeight="1">
      <c r="A32" s="460"/>
      <c r="B32" s="879"/>
      <c r="C32" s="559"/>
      <c r="D32" s="512" t="s">
        <v>6</v>
      </c>
      <c r="E32" s="548">
        <f t="shared" si="1"/>
        <v>1332.1</v>
      </c>
      <c r="F32" s="548">
        <f>F35</f>
        <v>248.6</v>
      </c>
      <c r="G32" s="534">
        <f>G35</f>
        <v>248.6</v>
      </c>
      <c r="H32" s="534">
        <f>H35</f>
        <v>278.3</v>
      </c>
      <c r="I32" s="534">
        <f>I35</f>
        <v>278.3</v>
      </c>
      <c r="J32" s="534">
        <f>J35</f>
        <v>278.3</v>
      </c>
      <c r="K32" s="911"/>
      <c r="L32" s="894"/>
      <c r="M32" s="894"/>
      <c r="N32" s="894"/>
      <c r="O32" s="894"/>
      <c r="P32" s="894"/>
      <c r="Q32" s="867"/>
    </row>
    <row r="33" spans="1:17" ht="34.5" customHeight="1">
      <c r="A33" s="876" t="s">
        <v>82</v>
      </c>
      <c r="B33" s="861" t="s">
        <v>464</v>
      </c>
      <c r="C33" s="906" t="s">
        <v>162</v>
      </c>
      <c r="D33" s="513" t="s">
        <v>491</v>
      </c>
      <c r="E33" s="528">
        <f>SUM(F33:J33)</f>
        <v>1787.33</v>
      </c>
      <c r="F33" s="528">
        <f>F34+F35</f>
        <v>299.83</v>
      </c>
      <c r="G33" s="528">
        <f>G34+G35</f>
        <v>352.6</v>
      </c>
      <c r="H33" s="528">
        <f>H34+H35</f>
        <v>378.3</v>
      </c>
      <c r="I33" s="528">
        <f>I34+I35</f>
        <v>378.3</v>
      </c>
      <c r="J33" s="561">
        <f>J34+J35</f>
        <v>378.3</v>
      </c>
      <c r="K33" s="895" t="s">
        <v>468</v>
      </c>
      <c r="L33" s="875">
        <v>20</v>
      </c>
      <c r="M33" s="875">
        <v>27</v>
      </c>
      <c r="N33" s="875">
        <v>27</v>
      </c>
      <c r="O33" s="875">
        <v>27</v>
      </c>
      <c r="P33" s="875">
        <v>27</v>
      </c>
      <c r="Q33" s="710" t="s">
        <v>51</v>
      </c>
    </row>
    <row r="34" spans="1:17" ht="16.5" customHeight="1">
      <c r="A34" s="877"/>
      <c r="B34" s="862"/>
      <c r="C34" s="907"/>
      <c r="D34" s="512" t="s">
        <v>5</v>
      </c>
      <c r="E34" s="548">
        <f>SUM(F34:J34)</f>
        <v>455.23</v>
      </c>
      <c r="F34" s="548">
        <v>51.23</v>
      </c>
      <c r="G34" s="548">
        <v>104</v>
      </c>
      <c r="H34" s="548">
        <v>100</v>
      </c>
      <c r="I34" s="548">
        <v>100</v>
      </c>
      <c r="J34" s="534">
        <v>100</v>
      </c>
      <c r="K34" s="896"/>
      <c r="L34" s="688"/>
      <c r="M34" s="688"/>
      <c r="N34" s="688"/>
      <c r="O34" s="688"/>
      <c r="P34" s="688"/>
      <c r="Q34" s="688"/>
    </row>
    <row r="35" spans="1:17" ht="16.5" customHeight="1">
      <c r="A35" s="877"/>
      <c r="B35" s="862"/>
      <c r="C35" s="908"/>
      <c r="D35" s="512" t="s">
        <v>6</v>
      </c>
      <c r="E35" s="548">
        <f t="shared" si="1"/>
        <v>1332.1</v>
      </c>
      <c r="F35" s="548">
        <v>248.6</v>
      </c>
      <c r="G35" s="548">
        <v>248.6</v>
      </c>
      <c r="H35" s="548">
        <v>278.3</v>
      </c>
      <c r="I35" s="548">
        <v>278.3</v>
      </c>
      <c r="J35" s="534">
        <v>278.3</v>
      </c>
      <c r="K35" s="897"/>
      <c r="L35" s="758"/>
      <c r="M35" s="758"/>
      <c r="N35" s="758"/>
      <c r="O35" s="758"/>
      <c r="P35" s="758"/>
      <c r="Q35" s="758"/>
    </row>
    <row r="36" spans="1:17" ht="34.5" customHeight="1">
      <c r="A36" s="521" t="s">
        <v>85</v>
      </c>
      <c r="B36" s="570" t="s">
        <v>466</v>
      </c>
      <c r="C36" s="725" t="s">
        <v>162</v>
      </c>
      <c r="D36" s="513" t="s">
        <v>491</v>
      </c>
      <c r="E36" s="532">
        <f t="shared" si="1"/>
        <v>114.28</v>
      </c>
      <c r="F36" s="532">
        <f>20+14.28</f>
        <v>34.28</v>
      </c>
      <c r="G36" s="532">
        <v>20</v>
      </c>
      <c r="H36" s="532">
        <v>20</v>
      </c>
      <c r="I36" s="532">
        <v>20</v>
      </c>
      <c r="J36" s="532">
        <v>20</v>
      </c>
      <c r="K36" s="895" t="s">
        <v>467</v>
      </c>
      <c r="L36" s="875">
        <v>30</v>
      </c>
      <c r="M36" s="875">
        <v>14</v>
      </c>
      <c r="N36" s="875">
        <v>15</v>
      </c>
      <c r="O36" s="875">
        <v>16</v>
      </c>
      <c r="P36" s="875">
        <v>17</v>
      </c>
      <c r="Q36" s="710" t="s">
        <v>137</v>
      </c>
    </row>
    <row r="37" spans="1:17" ht="15.75" customHeight="1">
      <c r="A37" s="522"/>
      <c r="B37" s="571"/>
      <c r="C37" s="918"/>
      <c r="D37" s="512" t="s">
        <v>5</v>
      </c>
      <c r="E37" s="548">
        <f>SUM(F37:J37)</f>
        <v>114.28</v>
      </c>
      <c r="F37" s="548">
        <f>20+14.28</f>
        <v>34.28</v>
      </c>
      <c r="G37" s="548">
        <v>20</v>
      </c>
      <c r="H37" s="548">
        <v>20</v>
      </c>
      <c r="I37" s="548">
        <v>20</v>
      </c>
      <c r="J37" s="548">
        <v>20</v>
      </c>
      <c r="K37" s="896"/>
      <c r="L37" s="688"/>
      <c r="M37" s="688"/>
      <c r="N37" s="688"/>
      <c r="O37" s="688"/>
      <c r="P37" s="688"/>
      <c r="Q37" s="688"/>
    </row>
    <row r="38" spans="1:17" ht="18" customHeight="1">
      <c r="A38" s="523"/>
      <c r="B38" s="572"/>
      <c r="C38" s="918"/>
      <c r="D38" s="511" t="s">
        <v>6</v>
      </c>
      <c r="E38" s="530">
        <v>0</v>
      </c>
      <c r="F38" s="548">
        <v>0</v>
      </c>
      <c r="G38" s="548">
        <v>0</v>
      </c>
      <c r="H38" s="548">
        <v>0</v>
      </c>
      <c r="I38" s="548">
        <v>0</v>
      </c>
      <c r="J38" s="548">
        <v>0</v>
      </c>
      <c r="K38" s="897"/>
      <c r="L38" s="758"/>
      <c r="M38" s="758"/>
      <c r="N38" s="758"/>
      <c r="O38" s="758"/>
      <c r="P38" s="758"/>
      <c r="Q38" s="758"/>
    </row>
    <row r="39" spans="1:17" ht="46.5" customHeight="1">
      <c r="A39" s="521" t="s">
        <v>138</v>
      </c>
      <c r="B39" s="562" t="s">
        <v>469</v>
      </c>
      <c r="C39" s="516" t="s">
        <v>162</v>
      </c>
      <c r="D39" s="514" t="s">
        <v>458</v>
      </c>
      <c r="E39" s="532">
        <f t="shared" si="1"/>
        <v>2279.84</v>
      </c>
      <c r="F39" s="532">
        <f>468.07+25.05</f>
        <v>493.12</v>
      </c>
      <c r="G39" s="532">
        <v>352.12</v>
      </c>
      <c r="H39" s="532">
        <v>478.2</v>
      </c>
      <c r="I39" s="532">
        <v>478.2</v>
      </c>
      <c r="J39" s="532">
        <v>478.2</v>
      </c>
      <c r="K39" s="895" t="s">
        <v>471</v>
      </c>
      <c r="L39" s="875">
        <v>37</v>
      </c>
      <c r="M39" s="875">
        <v>17</v>
      </c>
      <c r="N39" s="875">
        <v>18</v>
      </c>
      <c r="O39" s="875">
        <v>19</v>
      </c>
      <c r="P39" s="875">
        <v>20</v>
      </c>
      <c r="Q39" s="710" t="s">
        <v>470</v>
      </c>
    </row>
    <row r="40" spans="1:17" ht="18" customHeight="1">
      <c r="A40" s="522"/>
      <c r="B40" s="459"/>
      <c r="C40" s="519"/>
      <c r="D40" s="512" t="s">
        <v>5</v>
      </c>
      <c r="E40" s="548">
        <v>2279.84</v>
      </c>
      <c r="F40" s="548">
        <v>493.12</v>
      </c>
      <c r="G40" s="548">
        <v>352.12</v>
      </c>
      <c r="H40" s="548">
        <v>478.2</v>
      </c>
      <c r="I40" s="548">
        <v>478.2</v>
      </c>
      <c r="J40" s="548">
        <v>478.2</v>
      </c>
      <c r="K40" s="896"/>
      <c r="L40" s="688"/>
      <c r="M40" s="688"/>
      <c r="N40" s="688"/>
      <c r="O40" s="688"/>
      <c r="P40" s="688"/>
      <c r="Q40" s="688"/>
    </row>
    <row r="41" spans="1:17" ht="17.25" customHeight="1">
      <c r="A41" s="522"/>
      <c r="B41" s="459"/>
      <c r="C41" s="519"/>
      <c r="D41" s="512" t="s">
        <v>6</v>
      </c>
      <c r="E41" s="548">
        <v>0</v>
      </c>
      <c r="F41" s="530">
        <v>0</v>
      </c>
      <c r="G41" s="530">
        <v>0</v>
      </c>
      <c r="H41" s="530">
        <v>0</v>
      </c>
      <c r="I41" s="530">
        <v>0</v>
      </c>
      <c r="J41" s="530">
        <v>0</v>
      </c>
      <c r="K41" s="897"/>
      <c r="L41" s="758"/>
      <c r="M41" s="758"/>
      <c r="N41" s="758"/>
      <c r="O41" s="758"/>
      <c r="P41" s="758"/>
      <c r="Q41" s="758"/>
    </row>
    <row r="42" spans="1:17" ht="33.75" customHeight="1">
      <c r="A42" s="521" t="s">
        <v>472</v>
      </c>
      <c r="B42" s="562" t="s">
        <v>37</v>
      </c>
      <c r="C42" s="516" t="s">
        <v>162</v>
      </c>
      <c r="D42" s="569" t="s">
        <v>458</v>
      </c>
      <c r="E42" s="532">
        <f t="shared" si="1"/>
        <v>313.12</v>
      </c>
      <c r="F42" s="532">
        <v>184.4</v>
      </c>
      <c r="G42" s="532">
        <v>128.72</v>
      </c>
      <c r="H42" s="532">
        <v>0</v>
      </c>
      <c r="I42" s="532">
        <v>0</v>
      </c>
      <c r="J42" s="546">
        <v>0</v>
      </c>
      <c r="K42" s="895" t="s">
        <v>463</v>
      </c>
      <c r="L42" s="710">
        <v>30</v>
      </c>
      <c r="M42" s="710">
        <v>27</v>
      </c>
      <c r="N42" s="710">
        <v>28</v>
      </c>
      <c r="O42" s="710">
        <v>29</v>
      </c>
      <c r="P42" s="710">
        <v>30</v>
      </c>
      <c r="Q42" s="710" t="s">
        <v>146</v>
      </c>
    </row>
    <row r="43" spans="1:17" ht="15" customHeight="1">
      <c r="A43" s="522"/>
      <c r="B43" s="459"/>
      <c r="C43" s="519"/>
      <c r="D43" s="556" t="s">
        <v>5</v>
      </c>
      <c r="E43" s="548">
        <f>SUM(F43:J43)</f>
        <v>313.12</v>
      </c>
      <c r="F43" s="548">
        <v>184.4</v>
      </c>
      <c r="G43" s="548">
        <v>128.72</v>
      </c>
      <c r="H43" s="548">
        <v>0</v>
      </c>
      <c r="I43" s="548">
        <v>0</v>
      </c>
      <c r="J43" s="534">
        <v>0</v>
      </c>
      <c r="K43" s="896"/>
      <c r="L43" s="688"/>
      <c r="M43" s="688"/>
      <c r="N43" s="688"/>
      <c r="O43" s="688"/>
      <c r="P43" s="688"/>
      <c r="Q43" s="688"/>
    </row>
    <row r="44" spans="1:17" ht="15" customHeight="1">
      <c r="A44" s="523"/>
      <c r="B44" s="460"/>
      <c r="C44" s="520"/>
      <c r="D44" s="557" t="s">
        <v>6</v>
      </c>
      <c r="E44" s="530">
        <v>0</v>
      </c>
      <c r="F44" s="530">
        <v>0</v>
      </c>
      <c r="G44" s="530">
        <v>0</v>
      </c>
      <c r="H44" s="530">
        <v>0</v>
      </c>
      <c r="I44" s="530">
        <v>0</v>
      </c>
      <c r="J44" s="554">
        <v>0</v>
      </c>
      <c r="K44" s="897"/>
      <c r="L44" s="758"/>
      <c r="M44" s="758"/>
      <c r="N44" s="758"/>
      <c r="O44" s="758"/>
      <c r="P44" s="758"/>
      <c r="Q44" s="758"/>
    </row>
    <row r="45" spans="1:17" ht="27" customHeight="1">
      <c r="A45" s="566" t="s">
        <v>38</v>
      </c>
      <c r="B45" s="891" t="s">
        <v>483</v>
      </c>
      <c r="C45" s="888"/>
      <c r="D45" s="888"/>
      <c r="E45" s="888"/>
      <c r="F45" s="888"/>
      <c r="G45" s="888"/>
      <c r="H45" s="888"/>
      <c r="I45" s="888"/>
      <c r="J45" s="888"/>
      <c r="K45" s="873"/>
      <c r="L45" s="873"/>
      <c r="M45" s="873"/>
      <c r="N45" s="873"/>
      <c r="O45" s="873"/>
      <c r="P45" s="873"/>
      <c r="Q45" s="873"/>
    </row>
    <row r="46" spans="1:17" ht="57.75" customHeight="1">
      <c r="A46" s="521" t="s">
        <v>39</v>
      </c>
      <c r="B46" s="861" t="s">
        <v>456</v>
      </c>
      <c r="C46" s="859" t="s">
        <v>162</v>
      </c>
      <c r="D46" s="569" t="s">
        <v>458</v>
      </c>
      <c r="E46" s="532">
        <f>SUM(F46:J46)</f>
        <v>60</v>
      </c>
      <c r="F46" s="532">
        <v>0</v>
      </c>
      <c r="G46" s="532">
        <v>0</v>
      </c>
      <c r="H46" s="532">
        <v>20</v>
      </c>
      <c r="I46" s="532">
        <v>20</v>
      </c>
      <c r="J46" s="546">
        <v>20</v>
      </c>
      <c r="K46" s="755" t="s">
        <v>461</v>
      </c>
      <c r="L46" s="886">
        <v>7</v>
      </c>
      <c r="M46" s="886">
        <v>10</v>
      </c>
      <c r="N46" s="886">
        <v>9</v>
      </c>
      <c r="O46" s="886">
        <v>10</v>
      </c>
      <c r="P46" s="886">
        <v>11</v>
      </c>
      <c r="Q46" s="865" t="s">
        <v>457</v>
      </c>
    </row>
    <row r="47" spans="1:17" ht="13.5" customHeight="1" hidden="1">
      <c r="A47" s="573"/>
      <c r="B47" s="862"/>
      <c r="C47" s="860"/>
      <c r="D47" s="863"/>
      <c r="E47" s="864"/>
      <c r="F47" s="864"/>
      <c r="G47" s="864"/>
      <c r="H47" s="864"/>
      <c r="I47" s="864"/>
      <c r="J47" s="909"/>
      <c r="K47" s="756"/>
      <c r="L47" s="881"/>
      <c r="M47" s="881"/>
      <c r="N47" s="881"/>
      <c r="O47" s="881"/>
      <c r="P47" s="881"/>
      <c r="Q47" s="687"/>
    </row>
    <row r="48" spans="1:17" ht="11.25" customHeight="1" hidden="1">
      <c r="A48" s="459"/>
      <c r="B48" s="862"/>
      <c r="C48" s="860"/>
      <c r="D48" s="863"/>
      <c r="E48" s="864"/>
      <c r="F48" s="864"/>
      <c r="G48" s="864"/>
      <c r="H48" s="864"/>
      <c r="I48" s="864"/>
      <c r="J48" s="909"/>
      <c r="K48" s="756"/>
      <c r="L48" s="881"/>
      <c r="M48" s="881"/>
      <c r="N48" s="881"/>
      <c r="O48" s="881"/>
      <c r="P48" s="881"/>
      <c r="Q48" s="687"/>
    </row>
    <row r="49" spans="1:17" ht="8.25" customHeight="1" hidden="1">
      <c r="A49" s="459"/>
      <c r="B49" s="862"/>
      <c r="C49" s="860"/>
      <c r="D49" s="863"/>
      <c r="E49" s="864"/>
      <c r="F49" s="864"/>
      <c r="G49" s="864"/>
      <c r="H49" s="864"/>
      <c r="I49" s="864"/>
      <c r="J49" s="909"/>
      <c r="K49" s="756"/>
      <c r="L49" s="881"/>
      <c r="M49" s="881"/>
      <c r="N49" s="881"/>
      <c r="O49" s="881"/>
      <c r="P49" s="881"/>
      <c r="Q49" s="687"/>
    </row>
    <row r="50" spans="1:17" ht="14.25" customHeight="1" hidden="1" thickBot="1">
      <c r="A50" s="459"/>
      <c r="B50" s="862"/>
      <c r="C50" s="860"/>
      <c r="D50" s="863"/>
      <c r="E50" s="864"/>
      <c r="F50" s="864"/>
      <c r="G50" s="864"/>
      <c r="H50" s="864"/>
      <c r="I50" s="864"/>
      <c r="J50" s="909"/>
      <c r="K50" s="756"/>
      <c r="L50" s="881"/>
      <c r="M50" s="881"/>
      <c r="N50" s="881"/>
      <c r="O50" s="881"/>
      <c r="P50" s="881"/>
      <c r="Q50" s="687"/>
    </row>
    <row r="51" spans="1:17" ht="14.25" customHeight="1">
      <c r="A51" s="459"/>
      <c r="B51" s="524"/>
      <c r="C51" s="563"/>
      <c r="D51" s="556" t="s">
        <v>5</v>
      </c>
      <c r="E51" s="548">
        <f>SUM(F51:J51)</f>
        <v>60</v>
      </c>
      <c r="F51" s="548">
        <v>0</v>
      </c>
      <c r="G51" s="548">
        <v>0</v>
      </c>
      <c r="H51" s="548">
        <v>20</v>
      </c>
      <c r="I51" s="548">
        <v>20</v>
      </c>
      <c r="J51" s="534">
        <v>20</v>
      </c>
      <c r="K51" s="756"/>
      <c r="L51" s="881"/>
      <c r="M51" s="881"/>
      <c r="N51" s="881"/>
      <c r="O51" s="881"/>
      <c r="P51" s="881"/>
      <c r="Q51" s="687"/>
    </row>
    <row r="52" spans="1:17" ht="14.25" customHeight="1">
      <c r="A52" s="460"/>
      <c r="B52" s="525"/>
      <c r="C52" s="565"/>
      <c r="D52" s="557" t="s">
        <v>6</v>
      </c>
      <c r="E52" s="530">
        <v>0</v>
      </c>
      <c r="F52" s="530">
        <v>0</v>
      </c>
      <c r="G52" s="530">
        <v>0</v>
      </c>
      <c r="H52" s="530">
        <v>0</v>
      </c>
      <c r="I52" s="530">
        <v>0</v>
      </c>
      <c r="J52" s="554">
        <v>0</v>
      </c>
      <c r="K52" s="757"/>
      <c r="L52" s="882"/>
      <c r="M52" s="882"/>
      <c r="N52" s="882"/>
      <c r="O52" s="882"/>
      <c r="P52" s="882"/>
      <c r="Q52" s="733"/>
    </row>
    <row r="53" spans="1:17" ht="24" customHeight="1">
      <c r="A53" s="678"/>
      <c r="B53" s="899" t="s">
        <v>13</v>
      </c>
      <c r="C53" s="900"/>
      <c r="D53" s="569" t="s">
        <v>458</v>
      </c>
      <c r="E53" s="567">
        <f>SUM(F53:J53)</f>
        <v>6127.57</v>
      </c>
      <c r="F53" s="560">
        <f>F54+F55</f>
        <v>1236.6299999999999</v>
      </c>
      <c r="G53" s="560">
        <f>G54+G55</f>
        <v>1040.44</v>
      </c>
      <c r="H53" s="560">
        <f>H54+H55</f>
        <v>1283.5</v>
      </c>
      <c r="I53" s="560">
        <f>I54+I55</f>
        <v>1283.5</v>
      </c>
      <c r="J53" s="568">
        <f>J54+J55</f>
        <v>1283.5</v>
      </c>
      <c r="K53" s="902"/>
      <c r="L53" s="679"/>
      <c r="M53" s="679"/>
      <c r="N53" s="679"/>
      <c r="O53" s="679"/>
      <c r="P53" s="679"/>
      <c r="Q53" s="679"/>
    </row>
    <row r="54" spans="1:17" ht="11.25" customHeight="1">
      <c r="A54" s="898"/>
      <c r="B54" s="898"/>
      <c r="C54" s="901"/>
      <c r="D54" s="461" t="s">
        <v>5</v>
      </c>
      <c r="E54" s="549">
        <f>SUM(F54:J54)</f>
        <v>4795.469999999999</v>
      </c>
      <c r="F54" s="549">
        <f>F46+F42+F39+F36+F34+F24+F16+F10</f>
        <v>988.03</v>
      </c>
      <c r="G54" s="549">
        <f>G46+G42+G39+G36+G34+G24+G16+G10</f>
        <v>791.84</v>
      </c>
      <c r="H54" s="549">
        <f>H46+H42+H39+H36+H34+H24+H16+H10</f>
        <v>1005.2</v>
      </c>
      <c r="I54" s="549">
        <f>I46+I42+I39+I36+I34+I24+I16+I10</f>
        <v>1005.2</v>
      </c>
      <c r="J54" s="550">
        <f>J46+J42+J39+J36+J34+J24+J16+J10</f>
        <v>1005.2</v>
      </c>
      <c r="K54" s="903"/>
      <c r="L54" s="898"/>
      <c r="M54" s="898"/>
      <c r="N54" s="898"/>
      <c r="O54" s="898"/>
      <c r="P54" s="898"/>
      <c r="Q54" s="898"/>
    </row>
    <row r="55" spans="1:17" ht="11.25" customHeight="1" thickBot="1">
      <c r="A55" s="898"/>
      <c r="B55" s="898"/>
      <c r="C55" s="901"/>
      <c r="D55" s="462" t="s">
        <v>6</v>
      </c>
      <c r="E55" s="551">
        <f>SUM(F55:J55)</f>
        <v>1332.1</v>
      </c>
      <c r="F55" s="551">
        <f>F35</f>
        <v>248.6</v>
      </c>
      <c r="G55" s="551">
        <f>G35</f>
        <v>248.6</v>
      </c>
      <c r="H55" s="551">
        <f>H35</f>
        <v>278.3</v>
      </c>
      <c r="I55" s="551">
        <f>I35</f>
        <v>278.3</v>
      </c>
      <c r="J55" s="552">
        <f>J35</f>
        <v>278.3</v>
      </c>
      <c r="K55" s="903"/>
      <c r="L55" s="898"/>
      <c r="M55" s="898"/>
      <c r="N55" s="898"/>
      <c r="O55" s="898"/>
      <c r="P55" s="898"/>
      <c r="Q55" s="898"/>
    </row>
  </sheetData>
  <sheetProtection/>
  <mergeCells count="132">
    <mergeCell ref="P39:P41"/>
    <mergeCell ref="Q39:Q41"/>
    <mergeCell ref="K36:K38"/>
    <mergeCell ref="L36:L38"/>
    <mergeCell ref="M36:M38"/>
    <mergeCell ref="N36:N38"/>
    <mergeCell ref="O36:O38"/>
    <mergeCell ref="P36:P38"/>
    <mergeCell ref="Q36:Q38"/>
    <mergeCell ref="P46:P52"/>
    <mergeCell ref="Q46:Q52"/>
    <mergeCell ref="K42:K44"/>
    <mergeCell ref="L42:L44"/>
    <mergeCell ref="M42:M44"/>
    <mergeCell ref="N42:N44"/>
    <mergeCell ref="O42:O44"/>
    <mergeCell ref="P42:P44"/>
    <mergeCell ref="Q42:Q44"/>
    <mergeCell ref="M46:M52"/>
    <mergeCell ref="N46:N52"/>
    <mergeCell ref="O46:O52"/>
    <mergeCell ref="K39:K41"/>
    <mergeCell ref="L39:L41"/>
    <mergeCell ref="M39:M41"/>
    <mergeCell ref="N39:N41"/>
    <mergeCell ref="O39:O41"/>
    <mergeCell ref="N16:N22"/>
    <mergeCell ref="O16:O22"/>
    <mergeCell ref="P16:P22"/>
    <mergeCell ref="Q16:Q22"/>
    <mergeCell ref="K24:K25"/>
    <mergeCell ref="L24:L25"/>
    <mergeCell ref="M24:M25"/>
    <mergeCell ref="N24:N25"/>
    <mergeCell ref="O24:O25"/>
    <mergeCell ref="P24:P25"/>
    <mergeCell ref="M10:M14"/>
    <mergeCell ref="N10:N14"/>
    <mergeCell ref="O10:O14"/>
    <mergeCell ref="P10:P14"/>
    <mergeCell ref="K26:K28"/>
    <mergeCell ref="L26:L28"/>
    <mergeCell ref="M26:M28"/>
    <mergeCell ref="N26:N28"/>
    <mergeCell ref="O26:O28"/>
    <mergeCell ref="P26:P28"/>
    <mergeCell ref="H47:H50"/>
    <mergeCell ref="I47:I50"/>
    <mergeCell ref="J47:J50"/>
    <mergeCell ref="B30:B32"/>
    <mergeCell ref="K30:K32"/>
    <mergeCell ref="L30:L32"/>
    <mergeCell ref="E47:E50"/>
    <mergeCell ref="C36:C38"/>
    <mergeCell ref="K46:K52"/>
    <mergeCell ref="L46:L52"/>
    <mergeCell ref="N53:N55"/>
    <mergeCell ref="O53:O55"/>
    <mergeCell ref="P53:P55"/>
    <mergeCell ref="Q53:Q55"/>
    <mergeCell ref="E11:E12"/>
    <mergeCell ref="F11:F12"/>
    <mergeCell ref="G11:G12"/>
    <mergeCell ref="H11:H12"/>
    <mergeCell ref="I11:I12"/>
    <mergeCell ref="J11:J12"/>
    <mergeCell ref="A53:A55"/>
    <mergeCell ref="B53:B55"/>
    <mergeCell ref="C53:C55"/>
    <mergeCell ref="K53:K55"/>
    <mergeCell ref="L53:L55"/>
    <mergeCell ref="M53:M55"/>
    <mergeCell ref="B45:Q45"/>
    <mergeCell ref="B29:Q29"/>
    <mergeCell ref="M30:M32"/>
    <mergeCell ref="N30:N32"/>
    <mergeCell ref="O30:O32"/>
    <mergeCell ref="P30:P32"/>
    <mergeCell ref="K33:K35"/>
    <mergeCell ref="L33:L35"/>
    <mergeCell ref="M33:M35"/>
    <mergeCell ref="Q30:Q32"/>
    <mergeCell ref="A16:A22"/>
    <mergeCell ref="C16:C22"/>
    <mergeCell ref="K16:K22"/>
    <mergeCell ref="L16:L22"/>
    <mergeCell ref="M16:M22"/>
    <mergeCell ref="A10:A12"/>
    <mergeCell ref="I17:I18"/>
    <mergeCell ref="J17:J18"/>
    <mergeCell ref="E17:E18"/>
    <mergeCell ref="F17:F18"/>
    <mergeCell ref="N33:N35"/>
    <mergeCell ref="O33:O35"/>
    <mergeCell ref="P33:P35"/>
    <mergeCell ref="Q33:Q35"/>
    <mergeCell ref="A24:A28"/>
    <mergeCell ref="B24:B28"/>
    <mergeCell ref="C24:C28"/>
    <mergeCell ref="A33:A35"/>
    <mergeCell ref="B33:B35"/>
    <mergeCell ref="C33:C35"/>
    <mergeCell ref="I2:Q2"/>
    <mergeCell ref="B8:Q8"/>
    <mergeCell ref="B9:Q9"/>
    <mergeCell ref="D17:D20"/>
    <mergeCell ref="B10:B12"/>
    <mergeCell ref="C10:C12"/>
    <mergeCell ref="D11:D12"/>
    <mergeCell ref="B15:Q15"/>
    <mergeCell ref="Q10:Q14"/>
    <mergeCell ref="B16:B22"/>
    <mergeCell ref="D5:D6"/>
    <mergeCell ref="E5:J5"/>
    <mergeCell ref="Q24:Q28"/>
    <mergeCell ref="K5:P5"/>
    <mergeCell ref="Q5:Q6"/>
    <mergeCell ref="G17:G18"/>
    <mergeCell ref="H17:H18"/>
    <mergeCell ref="B23:Q23"/>
    <mergeCell ref="K10:K14"/>
    <mergeCell ref="L10:L14"/>
    <mergeCell ref="C46:C50"/>
    <mergeCell ref="B46:B50"/>
    <mergeCell ref="D47:D50"/>
    <mergeCell ref="F47:F50"/>
    <mergeCell ref="G47:G50"/>
    <mergeCell ref="H1:Q1"/>
    <mergeCell ref="A3:Q3"/>
    <mergeCell ref="A5:A6"/>
    <mergeCell ref="B5:B6"/>
    <mergeCell ref="C5:C6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7109375" defaultRowHeight="18.75" customHeight="1"/>
  <cols>
    <col min="1" max="1" width="6.28125" style="2" customWidth="1"/>
    <col min="2" max="2" width="24.7109375" style="1" customWidth="1"/>
    <col min="3" max="3" width="8.421875" style="1" customWidth="1"/>
    <col min="4" max="4" width="8.00390625" style="1" customWidth="1"/>
    <col min="5" max="5" width="8.28125" style="3" customWidth="1"/>
    <col min="6" max="6" width="7.28125" style="3" customWidth="1"/>
    <col min="7" max="7" width="8.140625" style="3" customWidth="1"/>
    <col min="8" max="10" width="8.2812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71093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683" t="s">
        <v>302</v>
      </c>
      <c r="I1" s="683"/>
      <c r="J1" s="683"/>
      <c r="K1" s="683"/>
      <c r="L1" s="683"/>
      <c r="M1" s="683"/>
      <c r="N1" s="683"/>
      <c r="O1" s="683"/>
      <c r="P1" s="683"/>
      <c r="Q1" s="683"/>
    </row>
    <row r="2" spans="1:17" ht="29.25" customHeight="1">
      <c r="A2" s="685" t="s">
        <v>158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667" t="s">
        <v>16</v>
      </c>
      <c r="B4" s="671" t="s">
        <v>15</v>
      </c>
      <c r="C4" s="667" t="s">
        <v>8</v>
      </c>
      <c r="D4" s="667" t="s">
        <v>9</v>
      </c>
      <c r="E4" s="668" t="s">
        <v>0</v>
      </c>
      <c r="F4" s="669"/>
      <c r="G4" s="669"/>
      <c r="H4" s="669"/>
      <c r="I4" s="669"/>
      <c r="J4" s="670"/>
      <c r="K4" s="668" t="s">
        <v>17</v>
      </c>
      <c r="L4" s="669"/>
      <c r="M4" s="669"/>
      <c r="N4" s="669"/>
      <c r="O4" s="669"/>
      <c r="P4" s="670"/>
      <c r="Q4" s="671" t="s">
        <v>163</v>
      </c>
    </row>
    <row r="5" spans="1:17" ht="13.5" customHeight="1">
      <c r="A5" s="667"/>
      <c r="B5" s="672"/>
      <c r="C5" s="667"/>
      <c r="D5" s="667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672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680" t="s">
        <v>18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</row>
    <row r="8" spans="1:17" ht="14.25" customHeight="1">
      <c r="A8" s="21" t="s">
        <v>72</v>
      </c>
      <c r="B8" s="873" t="s">
        <v>73</v>
      </c>
      <c r="C8" s="873"/>
      <c r="D8" s="873"/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3"/>
    </row>
    <row r="9" spans="1:17" ht="18.75" customHeight="1">
      <c r="A9" s="876" t="s">
        <v>10</v>
      </c>
      <c r="B9" s="861" t="s">
        <v>198</v>
      </c>
      <c r="C9" s="732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710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881"/>
      <c r="B10" s="872"/>
      <c r="C10" s="686"/>
      <c r="D10" s="732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687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881"/>
      <c r="B11" s="872"/>
      <c r="C11" s="686"/>
      <c r="D11" s="678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733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919"/>
      <c r="B12" s="919" t="s">
        <v>23</v>
      </c>
      <c r="C12" s="919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925"/>
      <c r="L12" s="925"/>
      <c r="M12" s="925"/>
      <c r="N12" s="925"/>
      <c r="O12" s="925"/>
      <c r="P12" s="925"/>
      <c r="Q12" s="925"/>
    </row>
    <row r="13" spans="1:17" ht="9.75" customHeight="1">
      <c r="A13" s="920"/>
      <c r="B13" s="920"/>
      <c r="C13" s="920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687"/>
      <c r="L13" s="687"/>
      <c r="M13" s="687"/>
      <c r="N13" s="687"/>
      <c r="O13" s="687"/>
      <c r="P13" s="687"/>
      <c r="Q13" s="687"/>
    </row>
    <row r="14" spans="1:17" ht="9" customHeight="1">
      <c r="A14" s="920"/>
      <c r="B14" s="920"/>
      <c r="C14" s="920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733"/>
      <c r="L14" s="733"/>
      <c r="M14" s="733"/>
      <c r="N14" s="733"/>
      <c r="O14" s="733"/>
      <c r="P14" s="733"/>
      <c r="Q14" s="733"/>
    </row>
    <row r="15" spans="1:17" ht="13.5" customHeight="1">
      <c r="A15" s="21" t="s">
        <v>24</v>
      </c>
      <c r="B15" s="873" t="s">
        <v>76</v>
      </c>
      <c r="C15" s="873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3"/>
      <c r="O15" s="873"/>
      <c r="P15" s="873"/>
      <c r="Q15" s="873"/>
    </row>
    <row r="16" spans="1:17" ht="24" customHeight="1">
      <c r="A16" s="876" t="s">
        <v>26</v>
      </c>
      <c r="B16" s="861" t="s">
        <v>200</v>
      </c>
      <c r="C16" s="732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710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881"/>
      <c r="B17" s="872"/>
      <c r="C17" s="686"/>
      <c r="D17" s="732" t="s">
        <v>217</v>
      </c>
      <c r="E17" s="713">
        <f>SUM(F17:J18)</f>
        <v>80</v>
      </c>
      <c r="F17" s="713">
        <v>35</v>
      </c>
      <c r="G17" s="713">
        <v>45</v>
      </c>
      <c r="H17" s="713">
        <v>0</v>
      </c>
      <c r="I17" s="713">
        <v>0</v>
      </c>
      <c r="J17" s="713">
        <v>0</v>
      </c>
      <c r="K17" s="687"/>
      <c r="L17" s="921">
        <v>100</v>
      </c>
      <c r="M17" s="921">
        <v>100</v>
      </c>
      <c r="N17" s="921">
        <v>0</v>
      </c>
      <c r="O17" s="921">
        <v>0</v>
      </c>
      <c r="P17" s="921">
        <v>0</v>
      </c>
      <c r="Q17" s="912" t="s">
        <v>74</v>
      </c>
    </row>
    <row r="18" spans="1:17" ht="6.75" customHeight="1">
      <c r="A18" s="881"/>
      <c r="B18" s="872"/>
      <c r="C18" s="686"/>
      <c r="D18" s="664"/>
      <c r="E18" s="731"/>
      <c r="F18" s="731"/>
      <c r="G18" s="731"/>
      <c r="H18" s="731"/>
      <c r="I18" s="731"/>
      <c r="J18" s="731"/>
      <c r="K18" s="687"/>
      <c r="L18" s="922"/>
      <c r="M18" s="922"/>
      <c r="N18" s="922"/>
      <c r="O18" s="922"/>
      <c r="P18" s="922"/>
      <c r="Q18" s="927"/>
    </row>
    <row r="19" spans="1:17" ht="15" customHeight="1">
      <c r="A19" s="881"/>
      <c r="B19" s="872"/>
      <c r="C19" s="686"/>
      <c r="D19" s="664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687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882"/>
      <c r="B20" s="890"/>
      <c r="C20" s="754"/>
      <c r="D20" s="678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733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919"/>
      <c r="B21" s="919" t="s">
        <v>43</v>
      </c>
      <c r="C21" s="919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919"/>
      <c r="L21" s="919"/>
      <c r="M21" s="919"/>
      <c r="N21" s="919"/>
      <c r="O21" s="919"/>
      <c r="P21" s="919"/>
      <c r="Q21" s="919"/>
    </row>
    <row r="22" spans="1:17" ht="15" customHeight="1">
      <c r="A22" s="920"/>
      <c r="B22" s="920"/>
      <c r="C22" s="920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920"/>
      <c r="L22" s="920"/>
      <c r="M22" s="920"/>
      <c r="N22" s="920"/>
      <c r="O22" s="920"/>
      <c r="P22" s="920"/>
      <c r="Q22" s="920"/>
    </row>
    <row r="23" spans="1:17" ht="12" customHeight="1">
      <c r="A23" s="920"/>
      <c r="B23" s="920"/>
      <c r="C23" s="920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920"/>
      <c r="L23" s="920"/>
      <c r="M23" s="920"/>
      <c r="N23" s="920"/>
      <c r="O23" s="920"/>
      <c r="P23" s="920"/>
      <c r="Q23" s="920"/>
    </row>
    <row r="24" spans="1:17" ht="12" customHeight="1">
      <c r="A24" s="21" t="s">
        <v>28</v>
      </c>
      <c r="B24" s="873" t="s">
        <v>77</v>
      </c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</row>
    <row r="25" spans="1:17" ht="19.5" customHeight="1">
      <c r="A25" s="876" t="s">
        <v>30</v>
      </c>
      <c r="B25" s="861" t="s">
        <v>199</v>
      </c>
      <c r="C25" s="732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710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881"/>
      <c r="B26" s="872"/>
      <c r="C26" s="686"/>
      <c r="D26" s="732" t="s">
        <v>218</v>
      </c>
      <c r="E26" s="713">
        <f>SUM(F26:J27)</f>
        <v>32</v>
      </c>
      <c r="F26" s="713">
        <v>10</v>
      </c>
      <c r="G26" s="713">
        <v>22</v>
      </c>
      <c r="H26" s="713">
        <v>0</v>
      </c>
      <c r="I26" s="713">
        <v>0</v>
      </c>
      <c r="J26" s="713">
        <v>0</v>
      </c>
      <c r="K26" s="687"/>
      <c r="L26" s="921">
        <v>100</v>
      </c>
      <c r="M26" s="921">
        <v>100</v>
      </c>
      <c r="N26" s="923">
        <v>0</v>
      </c>
      <c r="O26" s="923">
        <v>0</v>
      </c>
      <c r="P26" s="923">
        <v>0</v>
      </c>
      <c r="Q26" s="912" t="s">
        <v>74</v>
      </c>
    </row>
    <row r="27" spans="1:17" ht="5.25" customHeight="1">
      <c r="A27" s="881"/>
      <c r="B27" s="872"/>
      <c r="C27" s="686"/>
      <c r="D27" s="664"/>
      <c r="E27" s="731"/>
      <c r="F27" s="731"/>
      <c r="G27" s="731"/>
      <c r="H27" s="731"/>
      <c r="I27" s="731"/>
      <c r="J27" s="731"/>
      <c r="K27" s="687"/>
      <c r="L27" s="922"/>
      <c r="M27" s="922"/>
      <c r="N27" s="923"/>
      <c r="O27" s="923"/>
      <c r="P27" s="923"/>
      <c r="Q27" s="927"/>
    </row>
    <row r="28" spans="1:17" ht="13.5" customHeight="1">
      <c r="A28" s="881"/>
      <c r="B28" s="872"/>
      <c r="C28" s="686"/>
      <c r="D28" s="664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687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881"/>
      <c r="B29" s="872"/>
      <c r="C29" s="686"/>
      <c r="D29" s="664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687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882"/>
      <c r="B30" s="890"/>
      <c r="C30" s="754"/>
      <c r="D30" s="678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733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919"/>
      <c r="B31" s="919" t="s">
        <v>33</v>
      </c>
      <c r="C31" s="919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919"/>
      <c r="L31" s="919"/>
      <c r="M31" s="919"/>
      <c r="N31" s="919"/>
      <c r="O31" s="919"/>
      <c r="P31" s="919"/>
      <c r="Q31" s="919"/>
    </row>
    <row r="32" spans="1:17" ht="10.5" customHeight="1">
      <c r="A32" s="920"/>
      <c r="B32" s="920"/>
      <c r="C32" s="920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920"/>
      <c r="L32" s="920"/>
      <c r="M32" s="920"/>
      <c r="N32" s="920"/>
      <c r="O32" s="920"/>
      <c r="P32" s="920"/>
      <c r="Q32" s="920"/>
    </row>
    <row r="33" spans="1:17" ht="13.5" customHeight="1">
      <c r="A33" s="920"/>
      <c r="B33" s="920"/>
      <c r="C33" s="920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920"/>
      <c r="L33" s="920"/>
      <c r="M33" s="920"/>
      <c r="N33" s="920"/>
      <c r="O33" s="920"/>
      <c r="P33" s="920"/>
      <c r="Q33" s="920"/>
    </row>
    <row r="34" spans="1:17" ht="12.75" customHeight="1">
      <c r="A34" s="21" t="s">
        <v>34</v>
      </c>
      <c r="B34" s="873" t="s">
        <v>78</v>
      </c>
      <c r="C34" s="873"/>
      <c r="D34" s="873"/>
      <c r="E34" s="873"/>
      <c r="F34" s="873"/>
      <c r="G34" s="873"/>
      <c r="H34" s="873"/>
      <c r="I34" s="873"/>
      <c r="J34" s="873"/>
      <c r="K34" s="873"/>
      <c r="L34" s="873"/>
      <c r="M34" s="873"/>
      <c r="N34" s="873"/>
      <c r="O34" s="873"/>
      <c r="P34" s="873"/>
      <c r="Q34" s="873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710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876" t="s">
        <v>36</v>
      </c>
      <c r="B36" s="861" t="s">
        <v>201</v>
      </c>
      <c r="C36" s="710" t="s">
        <v>162</v>
      </c>
      <c r="D36" s="732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687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877"/>
      <c r="B37" s="862"/>
      <c r="C37" s="722"/>
      <c r="D37" s="664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687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877"/>
      <c r="B38" s="888"/>
      <c r="C38" s="722"/>
      <c r="D38" s="664"/>
      <c r="E38" s="924">
        <f>SUM(F38:J39)</f>
        <v>163.5</v>
      </c>
      <c r="F38" s="924">
        <v>0</v>
      </c>
      <c r="G38" s="924">
        <f>43-43</f>
        <v>0</v>
      </c>
      <c r="H38" s="924">
        <v>54.5</v>
      </c>
      <c r="I38" s="924">
        <v>54.5</v>
      </c>
      <c r="J38" s="924">
        <v>54.5</v>
      </c>
      <c r="K38" s="687"/>
      <c r="L38" s="921">
        <v>0</v>
      </c>
      <c r="M38" s="921">
        <v>0</v>
      </c>
      <c r="N38" s="921">
        <v>100</v>
      </c>
      <c r="O38" s="921">
        <v>100</v>
      </c>
      <c r="P38" s="921">
        <v>100</v>
      </c>
      <c r="Q38" s="912" t="s">
        <v>135</v>
      </c>
    </row>
    <row r="39" spans="1:17" ht="12.75" customHeight="1" thickBot="1">
      <c r="A39" s="877"/>
      <c r="B39" s="888"/>
      <c r="C39" s="722"/>
      <c r="D39" s="926"/>
      <c r="E39" s="924"/>
      <c r="F39" s="924"/>
      <c r="G39" s="924"/>
      <c r="H39" s="924"/>
      <c r="I39" s="924"/>
      <c r="J39" s="924"/>
      <c r="K39" s="733"/>
      <c r="L39" s="922"/>
      <c r="M39" s="922"/>
      <c r="N39" s="922"/>
      <c r="O39" s="922"/>
      <c r="P39" s="922"/>
      <c r="Q39" s="927"/>
    </row>
    <row r="40" spans="1:17" ht="20.25" customHeight="1">
      <c r="A40" s="919"/>
      <c r="B40" s="919" t="s">
        <v>48</v>
      </c>
      <c r="C40" s="919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919"/>
      <c r="L40" s="919"/>
      <c r="M40" s="919"/>
      <c r="N40" s="919"/>
      <c r="O40" s="919"/>
      <c r="P40" s="919"/>
      <c r="Q40" s="919"/>
    </row>
    <row r="41" spans="1:17" ht="15" customHeight="1">
      <c r="A41" s="920"/>
      <c r="B41" s="920"/>
      <c r="C41" s="920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920"/>
      <c r="L41" s="920"/>
      <c r="M41" s="920"/>
      <c r="N41" s="920"/>
      <c r="O41" s="920"/>
      <c r="P41" s="920"/>
      <c r="Q41" s="920"/>
    </row>
    <row r="42" spans="1:17" ht="15" customHeight="1" thickBot="1">
      <c r="A42" s="920"/>
      <c r="B42" s="920"/>
      <c r="C42" s="920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920"/>
      <c r="L42" s="920"/>
      <c r="M42" s="920"/>
      <c r="N42" s="920"/>
      <c r="O42" s="920"/>
      <c r="P42" s="920"/>
      <c r="Q42" s="920"/>
    </row>
    <row r="43" spans="1:17" ht="24" customHeight="1">
      <c r="A43" s="679"/>
      <c r="B43" s="681" t="s">
        <v>13</v>
      </c>
      <c r="C43" s="679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679"/>
      <c r="L43" s="679"/>
      <c r="M43" s="679"/>
      <c r="N43" s="679"/>
      <c r="O43" s="679"/>
      <c r="P43" s="679"/>
      <c r="Q43" s="679"/>
    </row>
    <row r="44" spans="1:17" ht="11.25" customHeight="1">
      <c r="A44" s="898"/>
      <c r="B44" s="898"/>
      <c r="C44" s="898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898"/>
      <c r="L44" s="898"/>
      <c r="M44" s="898"/>
      <c r="N44" s="898"/>
      <c r="O44" s="898"/>
      <c r="P44" s="898"/>
      <c r="Q44" s="898"/>
    </row>
    <row r="45" spans="1:17" ht="11.25" customHeight="1">
      <c r="A45" s="898"/>
      <c r="B45" s="898"/>
      <c r="C45" s="898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898"/>
      <c r="L45" s="898"/>
      <c r="M45" s="898"/>
      <c r="N45" s="898"/>
      <c r="O45" s="898"/>
      <c r="P45" s="898"/>
      <c r="Q45" s="898"/>
    </row>
  </sheetData>
  <sheetProtection/>
  <mergeCells count="120"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K21:K23"/>
    <mergeCell ref="L21:L23"/>
    <mergeCell ref="M21:M23"/>
    <mergeCell ref="N21:N23"/>
    <mergeCell ref="O21:O23"/>
    <mergeCell ref="P21:P23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A40:A42"/>
    <mergeCell ref="K40:K42"/>
    <mergeCell ref="L40:L42"/>
    <mergeCell ref="M40:M42"/>
    <mergeCell ref="N40:N42"/>
    <mergeCell ref="O40:O42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N31:N33"/>
    <mergeCell ref="O17:O18"/>
    <mergeCell ref="P17:P18"/>
    <mergeCell ref="L26:L27"/>
    <mergeCell ref="M26:M27"/>
    <mergeCell ref="N26:N27"/>
    <mergeCell ref="O26:O27"/>
    <mergeCell ref="P26:P2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7109375" defaultRowHeight="18.75" customHeight="1"/>
  <cols>
    <col min="1" max="1" width="5.2812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6" width="7.28125" style="218" customWidth="1"/>
    <col min="7" max="7" width="7.421875" style="218" customWidth="1"/>
    <col min="8" max="10" width="7.8515625" style="218" customWidth="1"/>
    <col min="11" max="11" width="20.57421875" style="218" customWidth="1"/>
    <col min="12" max="12" width="5.2812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71093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975" t="s">
        <v>300</v>
      </c>
      <c r="I1" s="975"/>
      <c r="J1" s="975"/>
      <c r="K1" s="975"/>
      <c r="L1" s="975"/>
      <c r="M1" s="975"/>
      <c r="N1" s="975"/>
      <c r="O1" s="975"/>
      <c r="P1" s="975"/>
      <c r="Q1" s="975"/>
    </row>
    <row r="2" spans="1:17" ht="27" customHeight="1">
      <c r="A2" s="976" t="s">
        <v>159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977" t="s">
        <v>16</v>
      </c>
      <c r="B4" s="978" t="s">
        <v>15</v>
      </c>
      <c r="C4" s="977" t="s">
        <v>8</v>
      </c>
      <c r="D4" s="977" t="s">
        <v>9</v>
      </c>
      <c r="E4" s="943" t="s">
        <v>0</v>
      </c>
      <c r="F4" s="980"/>
      <c r="G4" s="980"/>
      <c r="H4" s="980"/>
      <c r="I4" s="980"/>
      <c r="J4" s="981"/>
      <c r="K4" s="943" t="s">
        <v>17</v>
      </c>
      <c r="L4" s="980"/>
      <c r="M4" s="980"/>
      <c r="N4" s="980"/>
      <c r="O4" s="980"/>
      <c r="P4" s="981"/>
      <c r="Q4" s="978" t="s">
        <v>14</v>
      </c>
    </row>
    <row r="5" spans="1:17" ht="12" customHeight="1">
      <c r="A5" s="977"/>
      <c r="B5" s="979"/>
      <c r="C5" s="977"/>
      <c r="D5" s="977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979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832" t="s">
        <v>20</v>
      </c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</row>
    <row r="8" spans="1:17" ht="21" customHeight="1">
      <c r="A8" s="223">
        <v>1</v>
      </c>
      <c r="B8" s="640" t="s">
        <v>21</v>
      </c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</row>
    <row r="9" spans="1:17" ht="21" customHeight="1">
      <c r="A9" s="972" t="s">
        <v>19</v>
      </c>
      <c r="B9" s="952" t="s">
        <v>125</v>
      </c>
      <c r="C9" s="930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973"/>
      <c r="B10" s="974"/>
      <c r="C10" s="974"/>
      <c r="D10" s="785" t="s">
        <v>6</v>
      </c>
      <c r="E10" s="793">
        <f>SUM(F10:J11)</f>
        <v>1357.9</v>
      </c>
      <c r="F10" s="793">
        <v>248.6</v>
      </c>
      <c r="G10" s="793">
        <v>248.6</v>
      </c>
      <c r="H10" s="793">
        <f>248.6+29.7</f>
        <v>278.3</v>
      </c>
      <c r="I10" s="793">
        <f>248.6+42.6</f>
        <v>291.2</v>
      </c>
      <c r="J10" s="793">
        <f>248.6+42.6</f>
        <v>291.2</v>
      </c>
      <c r="K10" s="456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930" t="s">
        <v>51</v>
      </c>
    </row>
    <row r="11" spans="1:17" s="229" customFormat="1" ht="35.25" customHeight="1">
      <c r="A11" s="973"/>
      <c r="B11" s="974"/>
      <c r="C11" s="974"/>
      <c r="D11" s="786"/>
      <c r="E11" s="817"/>
      <c r="F11" s="817"/>
      <c r="G11" s="817"/>
      <c r="H11" s="817"/>
      <c r="I11" s="817"/>
      <c r="J11" s="817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930"/>
    </row>
    <row r="12" spans="1:17" s="229" customFormat="1" ht="24" customHeight="1">
      <c r="A12" s="972" t="s">
        <v>22</v>
      </c>
      <c r="B12" s="952" t="s">
        <v>126</v>
      </c>
      <c r="C12" s="930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942"/>
      <c r="B13" s="828"/>
      <c r="C13" s="942"/>
      <c r="D13" s="785" t="s">
        <v>5</v>
      </c>
      <c r="E13" s="793">
        <f>SUM(F13:J16)</f>
        <v>455.3</v>
      </c>
      <c r="F13" s="793">
        <v>51.3</v>
      </c>
      <c r="G13" s="793">
        <f>100+4</f>
        <v>104</v>
      </c>
      <c r="H13" s="793">
        <v>100</v>
      </c>
      <c r="I13" s="793">
        <v>100</v>
      </c>
      <c r="J13" s="793">
        <v>100</v>
      </c>
      <c r="K13" s="844" t="s">
        <v>234</v>
      </c>
      <c r="L13" s="645" t="s">
        <v>236</v>
      </c>
      <c r="M13" s="645" t="s">
        <v>236</v>
      </c>
      <c r="N13" s="645" t="s">
        <v>236</v>
      </c>
      <c r="O13" s="645" t="s">
        <v>236</v>
      </c>
      <c r="P13" s="645" t="s">
        <v>236</v>
      </c>
      <c r="Q13" s="931" t="s">
        <v>127</v>
      </c>
    </row>
    <row r="14" spans="1:17" s="229" customFormat="1" ht="6" customHeight="1">
      <c r="A14" s="942"/>
      <c r="B14" s="828"/>
      <c r="C14" s="942"/>
      <c r="D14" s="786"/>
      <c r="E14" s="794"/>
      <c r="F14" s="794"/>
      <c r="G14" s="794"/>
      <c r="H14" s="794"/>
      <c r="I14" s="794"/>
      <c r="J14" s="794"/>
      <c r="K14" s="971"/>
      <c r="L14" s="803"/>
      <c r="M14" s="803"/>
      <c r="N14" s="803"/>
      <c r="O14" s="803"/>
      <c r="P14" s="803"/>
      <c r="Q14" s="970"/>
    </row>
    <row r="15" spans="1:17" s="229" customFormat="1" ht="6.75" customHeight="1">
      <c r="A15" s="942"/>
      <c r="B15" s="828"/>
      <c r="C15" s="942"/>
      <c r="D15" s="786"/>
      <c r="E15" s="794"/>
      <c r="F15" s="794"/>
      <c r="G15" s="794"/>
      <c r="H15" s="794"/>
      <c r="I15" s="794"/>
      <c r="J15" s="794"/>
      <c r="K15" s="844" t="s">
        <v>235</v>
      </c>
      <c r="L15" s="645" t="s">
        <v>236</v>
      </c>
      <c r="M15" s="645" t="s">
        <v>236</v>
      </c>
      <c r="N15" s="645" t="s">
        <v>236</v>
      </c>
      <c r="O15" s="645" t="s">
        <v>236</v>
      </c>
      <c r="P15" s="645" t="s">
        <v>236</v>
      </c>
      <c r="Q15" s="970"/>
    </row>
    <row r="16" spans="1:17" s="229" customFormat="1" ht="18" customHeight="1" thickBot="1">
      <c r="A16" s="942"/>
      <c r="B16" s="828"/>
      <c r="C16" s="942"/>
      <c r="D16" s="786"/>
      <c r="E16" s="794"/>
      <c r="F16" s="794"/>
      <c r="G16" s="794"/>
      <c r="H16" s="794"/>
      <c r="I16" s="794"/>
      <c r="J16" s="794"/>
      <c r="K16" s="971"/>
      <c r="L16" s="803"/>
      <c r="M16" s="803"/>
      <c r="N16" s="803"/>
      <c r="O16" s="803"/>
      <c r="P16" s="803"/>
      <c r="Q16" s="929"/>
    </row>
    <row r="17" spans="1:17" s="233" customFormat="1" ht="12.75" customHeight="1">
      <c r="A17" s="616"/>
      <c r="B17" s="832" t="s">
        <v>23</v>
      </c>
      <c r="C17" s="639"/>
      <c r="D17" s="232" t="s">
        <v>11</v>
      </c>
      <c r="E17" s="956">
        <f>SUM(F17:J18)</f>
        <v>1813.2</v>
      </c>
      <c r="F17" s="956">
        <f>SUM(F19:F20)</f>
        <v>299.9</v>
      </c>
      <c r="G17" s="956">
        <f>SUM(G19:G20)</f>
        <v>352.6</v>
      </c>
      <c r="H17" s="956">
        <f>SUM(H19:H20)</f>
        <v>378.3</v>
      </c>
      <c r="I17" s="956">
        <f>SUM(I19:I20)</f>
        <v>391.2</v>
      </c>
      <c r="J17" s="954">
        <f>SUM(J19:J20)</f>
        <v>391.2</v>
      </c>
      <c r="K17" s="937"/>
      <c r="L17" s="616"/>
      <c r="M17" s="616"/>
      <c r="N17" s="616"/>
      <c r="O17" s="616"/>
      <c r="P17" s="616"/>
      <c r="Q17" s="930"/>
    </row>
    <row r="18" spans="1:17" s="233" customFormat="1" ht="9.75" customHeight="1">
      <c r="A18" s="616"/>
      <c r="B18" s="832"/>
      <c r="C18" s="639"/>
      <c r="D18" s="234" t="s">
        <v>12</v>
      </c>
      <c r="E18" s="957"/>
      <c r="F18" s="957"/>
      <c r="G18" s="957"/>
      <c r="H18" s="957"/>
      <c r="I18" s="957"/>
      <c r="J18" s="955"/>
      <c r="K18" s="937"/>
      <c r="L18" s="616"/>
      <c r="M18" s="616"/>
      <c r="N18" s="616"/>
      <c r="O18" s="616"/>
      <c r="P18" s="616"/>
      <c r="Q18" s="930"/>
    </row>
    <row r="19" spans="1:17" s="233" customFormat="1" ht="13.5" customHeight="1">
      <c r="A19" s="616"/>
      <c r="B19" s="832"/>
      <c r="C19" s="639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937"/>
      <c r="L19" s="616"/>
      <c r="M19" s="616"/>
      <c r="N19" s="616"/>
      <c r="O19" s="616"/>
      <c r="P19" s="616"/>
      <c r="Q19" s="930"/>
    </row>
    <row r="20" spans="1:17" s="233" customFormat="1" ht="12.75" customHeight="1" thickBot="1">
      <c r="A20" s="616"/>
      <c r="B20" s="832"/>
      <c r="C20" s="639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937"/>
      <c r="L20" s="616"/>
      <c r="M20" s="616"/>
      <c r="N20" s="616"/>
      <c r="O20" s="616"/>
      <c r="P20" s="616"/>
      <c r="Q20" s="930"/>
    </row>
    <row r="21" spans="1:17" s="229" customFormat="1" ht="12" customHeight="1">
      <c r="A21" s="241" t="s">
        <v>24</v>
      </c>
      <c r="B21" s="948" t="s">
        <v>25</v>
      </c>
      <c r="C21" s="949"/>
      <c r="D21" s="950"/>
      <c r="E21" s="950"/>
      <c r="F21" s="950"/>
      <c r="G21" s="950"/>
      <c r="H21" s="950"/>
      <c r="I21" s="950"/>
      <c r="J21" s="950"/>
      <c r="K21" s="949"/>
      <c r="L21" s="949"/>
      <c r="M21" s="949"/>
      <c r="N21" s="949"/>
      <c r="O21" s="949"/>
      <c r="P21" s="949"/>
      <c r="Q21" s="951"/>
    </row>
    <row r="22" spans="1:17" s="229" customFormat="1" ht="24.75" customHeight="1">
      <c r="A22" s="931" t="s">
        <v>26</v>
      </c>
      <c r="B22" s="964" t="s">
        <v>27</v>
      </c>
      <c r="C22" s="930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815"/>
      <c r="B23" s="965"/>
      <c r="C23" s="953"/>
      <c r="D23" s="785" t="s">
        <v>5</v>
      </c>
      <c r="E23" s="793">
        <f>SUM(F23:J24)</f>
        <v>50</v>
      </c>
      <c r="F23" s="793">
        <v>10</v>
      </c>
      <c r="G23" s="793">
        <v>10</v>
      </c>
      <c r="H23" s="793">
        <v>10</v>
      </c>
      <c r="I23" s="793">
        <v>10</v>
      </c>
      <c r="J23" s="793">
        <v>10</v>
      </c>
      <c r="K23" s="844" t="s">
        <v>238</v>
      </c>
      <c r="L23" s="645" t="s">
        <v>240</v>
      </c>
      <c r="M23" s="645" t="s">
        <v>240</v>
      </c>
      <c r="N23" s="645" t="s">
        <v>240</v>
      </c>
      <c r="O23" s="645" t="s">
        <v>240</v>
      </c>
      <c r="P23" s="645" t="s">
        <v>240</v>
      </c>
      <c r="Q23" s="930" t="s">
        <v>226</v>
      </c>
    </row>
    <row r="24" spans="1:17" s="229" customFormat="1" ht="5.25" customHeight="1" hidden="1">
      <c r="A24" s="815"/>
      <c r="B24" s="965"/>
      <c r="C24" s="953"/>
      <c r="D24" s="845"/>
      <c r="E24" s="817"/>
      <c r="F24" s="817"/>
      <c r="G24" s="817"/>
      <c r="H24" s="817"/>
      <c r="I24" s="817"/>
      <c r="J24" s="817"/>
      <c r="K24" s="808"/>
      <c r="L24" s="967"/>
      <c r="M24" s="967"/>
      <c r="N24" s="967"/>
      <c r="O24" s="967"/>
      <c r="P24" s="967"/>
      <c r="Q24" s="942"/>
    </row>
    <row r="25" spans="1:17" s="229" customFormat="1" ht="0.75" customHeight="1">
      <c r="A25" s="815"/>
      <c r="B25" s="965"/>
      <c r="C25" s="953"/>
      <c r="D25" s="969" t="s">
        <v>5</v>
      </c>
      <c r="E25" s="793">
        <f>SUM(F25:J26)</f>
        <v>50</v>
      </c>
      <c r="F25" s="829">
        <v>10</v>
      </c>
      <c r="G25" s="829">
        <v>10</v>
      </c>
      <c r="H25" s="793">
        <v>10</v>
      </c>
      <c r="I25" s="793">
        <v>10</v>
      </c>
      <c r="J25" s="793">
        <v>10</v>
      </c>
      <c r="K25" s="771"/>
      <c r="L25" s="958"/>
      <c r="M25" s="958"/>
      <c r="N25" s="958"/>
      <c r="O25" s="958"/>
      <c r="P25" s="958"/>
      <c r="Q25" s="930" t="s">
        <v>225</v>
      </c>
    </row>
    <row r="26" spans="1:17" s="229" customFormat="1" ht="22.5" customHeight="1" thickBot="1">
      <c r="A26" s="777"/>
      <c r="B26" s="966"/>
      <c r="C26" s="953"/>
      <c r="D26" s="785"/>
      <c r="E26" s="794"/>
      <c r="F26" s="793"/>
      <c r="G26" s="793"/>
      <c r="H26" s="794"/>
      <c r="I26" s="794"/>
      <c r="J26" s="794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942"/>
    </row>
    <row r="27" spans="1:17" s="233" customFormat="1" ht="22.5" customHeight="1">
      <c r="A27" s="931"/>
      <c r="B27" s="844" t="s">
        <v>43</v>
      </c>
      <c r="C27" s="939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959"/>
      <c r="L27" s="959"/>
      <c r="M27" s="959"/>
      <c r="N27" s="959"/>
      <c r="O27" s="959"/>
      <c r="P27" s="959"/>
      <c r="Q27" s="959"/>
    </row>
    <row r="28" spans="1:17" s="233" customFormat="1" ht="12" customHeight="1">
      <c r="A28" s="815"/>
      <c r="B28" s="944"/>
      <c r="C28" s="940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960"/>
      <c r="L28" s="960"/>
      <c r="M28" s="960"/>
      <c r="N28" s="960"/>
      <c r="O28" s="960"/>
      <c r="P28" s="960"/>
      <c r="Q28" s="960"/>
    </row>
    <row r="29" spans="1:17" s="233" customFormat="1" ht="13.5" customHeight="1" thickBot="1">
      <c r="A29" s="777"/>
      <c r="B29" s="968"/>
      <c r="C29" s="941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961"/>
      <c r="L29" s="961"/>
      <c r="M29" s="961"/>
      <c r="N29" s="961"/>
      <c r="O29" s="961"/>
      <c r="P29" s="961"/>
      <c r="Q29" s="961"/>
    </row>
    <row r="30" spans="1:17" s="229" customFormat="1" ht="12" customHeight="1">
      <c r="A30" s="250" t="s">
        <v>28</v>
      </c>
      <c r="B30" s="962" t="s">
        <v>29</v>
      </c>
      <c r="C30" s="950"/>
      <c r="D30" s="950"/>
      <c r="E30" s="950"/>
      <c r="F30" s="950"/>
      <c r="G30" s="950"/>
      <c r="H30" s="950"/>
      <c r="I30" s="950"/>
      <c r="J30" s="950"/>
      <c r="K30" s="950"/>
      <c r="L30" s="950"/>
      <c r="M30" s="950"/>
      <c r="N30" s="950"/>
      <c r="O30" s="950"/>
      <c r="P30" s="950"/>
      <c r="Q30" s="963"/>
    </row>
    <row r="31" spans="1:17" s="229" customFormat="1" ht="21" customHeight="1">
      <c r="A31" s="931" t="s">
        <v>30</v>
      </c>
      <c r="B31" s="964" t="s">
        <v>128</v>
      </c>
      <c r="C31" s="930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646"/>
      <c r="B32" s="965"/>
      <c r="C32" s="953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931" t="s">
        <v>135</v>
      </c>
    </row>
    <row r="33" spans="1:17" s="229" customFormat="1" ht="33.75" customHeight="1">
      <c r="A33" s="647"/>
      <c r="B33" s="966"/>
      <c r="C33" s="953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929"/>
    </row>
    <row r="34" spans="1:17" s="229" customFormat="1" ht="23.25" customHeight="1">
      <c r="A34" s="623" t="s">
        <v>31</v>
      </c>
      <c r="B34" s="844" t="s">
        <v>32</v>
      </c>
      <c r="C34" s="931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646"/>
      <c r="B35" s="808"/>
      <c r="C35" s="815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931" t="s">
        <v>135</v>
      </c>
    </row>
    <row r="36" spans="1:17" s="229" customFormat="1" ht="23.25" customHeight="1">
      <c r="A36" s="647"/>
      <c r="B36" s="771"/>
      <c r="C36" s="777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58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929"/>
    </row>
    <row r="37" spans="1:17" s="229" customFormat="1" ht="22.5" customHeight="1">
      <c r="A37" s="623" t="s">
        <v>143</v>
      </c>
      <c r="B37" s="844" t="s">
        <v>145</v>
      </c>
      <c r="C37" s="931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656"/>
      <c r="B38" s="808"/>
      <c r="C38" s="815"/>
      <c r="D38" s="785" t="s">
        <v>5</v>
      </c>
      <c r="E38" s="793">
        <f>SUM(F38:J39)</f>
        <v>14.3</v>
      </c>
      <c r="F38" s="793">
        <v>14.3</v>
      </c>
      <c r="G38" s="793">
        <v>0</v>
      </c>
      <c r="H38" s="793">
        <v>0</v>
      </c>
      <c r="I38" s="793">
        <v>0</v>
      </c>
      <c r="J38" s="793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931" t="s">
        <v>144</v>
      </c>
    </row>
    <row r="39" spans="1:17" s="229" customFormat="1" ht="24" customHeight="1">
      <c r="A39" s="657"/>
      <c r="B39" s="771"/>
      <c r="C39" s="777"/>
      <c r="D39" s="845"/>
      <c r="E39" s="817"/>
      <c r="F39" s="817"/>
      <c r="G39" s="817"/>
      <c r="H39" s="817"/>
      <c r="I39" s="817"/>
      <c r="J39" s="817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929"/>
    </row>
    <row r="40" spans="1:17" s="229" customFormat="1" ht="21.75" customHeight="1">
      <c r="A40" s="623" t="s">
        <v>148</v>
      </c>
      <c r="B40" s="844" t="s">
        <v>149</v>
      </c>
      <c r="C40" s="931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844" t="s">
        <v>244</v>
      </c>
      <c r="L40" s="645" t="s">
        <v>236</v>
      </c>
      <c r="M40" s="645">
        <v>0</v>
      </c>
      <c r="N40" s="645">
        <v>0</v>
      </c>
      <c r="O40" s="645">
        <v>0</v>
      </c>
      <c r="P40" s="645">
        <v>0</v>
      </c>
      <c r="Q40" s="931" t="s">
        <v>135</v>
      </c>
    </row>
    <row r="41" spans="1:17" s="229" customFormat="1" ht="2.25" customHeight="1" hidden="1">
      <c r="A41" s="656"/>
      <c r="B41" s="808"/>
      <c r="C41" s="815"/>
      <c r="D41" s="785" t="s">
        <v>5</v>
      </c>
      <c r="E41" s="793">
        <f>SUM(F41:J42)</f>
        <v>25</v>
      </c>
      <c r="F41" s="793">
        <v>25</v>
      </c>
      <c r="G41" s="793">
        <v>0</v>
      </c>
      <c r="H41" s="793">
        <v>0</v>
      </c>
      <c r="I41" s="793">
        <v>0</v>
      </c>
      <c r="J41" s="793">
        <v>0</v>
      </c>
      <c r="K41" s="771"/>
      <c r="L41" s="958"/>
      <c r="M41" s="958"/>
      <c r="N41" s="958"/>
      <c r="O41" s="958"/>
      <c r="P41" s="958"/>
      <c r="Q41" s="815"/>
    </row>
    <row r="42" spans="1:17" s="229" customFormat="1" ht="39" customHeight="1" thickBot="1">
      <c r="A42" s="657"/>
      <c r="B42" s="771"/>
      <c r="C42" s="777"/>
      <c r="D42" s="786"/>
      <c r="E42" s="794"/>
      <c r="F42" s="794"/>
      <c r="G42" s="794"/>
      <c r="H42" s="794"/>
      <c r="I42" s="794"/>
      <c r="J42" s="794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777"/>
    </row>
    <row r="43" spans="1:17" s="233" customFormat="1" ht="12" customHeight="1">
      <c r="A43" s="616"/>
      <c r="B43" s="832" t="s">
        <v>33</v>
      </c>
      <c r="C43" s="639"/>
      <c r="D43" s="232" t="s">
        <v>11</v>
      </c>
      <c r="E43" s="956">
        <f>F43+G43+H43+I43+J43</f>
        <v>1874.0000000000002</v>
      </c>
      <c r="F43" s="956">
        <f>SUM(F45:F46)</f>
        <v>507.3</v>
      </c>
      <c r="G43" s="956">
        <f>SUM(G45:G46)</f>
        <v>352.1</v>
      </c>
      <c r="H43" s="956">
        <f>SUM(H45:H46)</f>
        <v>338.2</v>
      </c>
      <c r="I43" s="956">
        <f>SUM(I45:I46)</f>
        <v>338.2</v>
      </c>
      <c r="J43" s="954">
        <f>SUM(J45:J46)</f>
        <v>338.2</v>
      </c>
      <c r="K43" s="937"/>
      <c r="L43" s="616"/>
      <c r="M43" s="616"/>
      <c r="N43" s="616"/>
      <c r="O43" s="616"/>
      <c r="P43" s="616"/>
      <c r="Q43" s="930"/>
    </row>
    <row r="44" spans="1:17" s="233" customFormat="1" ht="13.5" customHeight="1">
      <c r="A44" s="616"/>
      <c r="B44" s="832"/>
      <c r="C44" s="639"/>
      <c r="D44" s="234" t="s">
        <v>12</v>
      </c>
      <c r="E44" s="957"/>
      <c r="F44" s="957"/>
      <c r="G44" s="957"/>
      <c r="H44" s="957"/>
      <c r="I44" s="957"/>
      <c r="J44" s="955"/>
      <c r="K44" s="937"/>
      <c r="L44" s="616"/>
      <c r="M44" s="616"/>
      <c r="N44" s="616"/>
      <c r="O44" s="616"/>
      <c r="P44" s="616"/>
      <c r="Q44" s="930"/>
    </row>
    <row r="45" spans="1:17" s="233" customFormat="1" ht="11.25" customHeight="1">
      <c r="A45" s="616"/>
      <c r="B45" s="832"/>
      <c r="C45" s="639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937"/>
      <c r="L45" s="616"/>
      <c r="M45" s="616"/>
      <c r="N45" s="616"/>
      <c r="O45" s="616"/>
      <c r="P45" s="616"/>
      <c r="Q45" s="930"/>
    </row>
    <row r="46" spans="1:17" s="233" customFormat="1" ht="14.25" customHeight="1" thickBot="1">
      <c r="A46" s="616"/>
      <c r="B46" s="832"/>
      <c r="C46" s="639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937"/>
      <c r="L46" s="616"/>
      <c r="M46" s="616"/>
      <c r="N46" s="616"/>
      <c r="O46" s="616"/>
      <c r="P46" s="616"/>
      <c r="Q46" s="930"/>
    </row>
    <row r="47" spans="1:17" s="229" customFormat="1" ht="12.75" customHeight="1">
      <c r="A47" s="260" t="s">
        <v>34</v>
      </c>
      <c r="B47" s="948" t="s">
        <v>35</v>
      </c>
      <c r="C47" s="949"/>
      <c r="D47" s="950"/>
      <c r="E47" s="950"/>
      <c r="F47" s="950"/>
      <c r="G47" s="950"/>
      <c r="H47" s="950"/>
      <c r="I47" s="950"/>
      <c r="J47" s="950"/>
      <c r="K47" s="949"/>
      <c r="L47" s="949"/>
      <c r="M47" s="949"/>
      <c r="N47" s="949"/>
      <c r="O47" s="949"/>
      <c r="P47" s="949"/>
      <c r="Q47" s="951"/>
    </row>
    <row r="48" spans="1:17" s="229" customFormat="1" ht="23.25" customHeight="1">
      <c r="A48" s="619" t="s">
        <v>36</v>
      </c>
      <c r="B48" s="952" t="s">
        <v>37</v>
      </c>
      <c r="C48" s="930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775"/>
      <c r="B49" s="828"/>
      <c r="C49" s="953"/>
      <c r="D49" s="785" t="s">
        <v>5</v>
      </c>
      <c r="E49" s="793">
        <f>SUM(F49:J50)</f>
        <v>313.1</v>
      </c>
      <c r="F49" s="793">
        <f>71.1-28+156.9-15.6</f>
        <v>184.4</v>
      </c>
      <c r="G49" s="793">
        <f>160-31.3</f>
        <v>128.7</v>
      </c>
      <c r="H49" s="793">
        <v>0</v>
      </c>
      <c r="I49" s="793">
        <v>0</v>
      </c>
      <c r="J49" s="793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931" t="s">
        <v>146</v>
      </c>
    </row>
    <row r="50" spans="1:17" s="229" customFormat="1" ht="21.75" customHeight="1" thickBot="1">
      <c r="A50" s="775"/>
      <c r="B50" s="828"/>
      <c r="C50" s="953"/>
      <c r="D50" s="786"/>
      <c r="E50" s="794"/>
      <c r="F50" s="794"/>
      <c r="G50" s="794"/>
      <c r="H50" s="794"/>
      <c r="I50" s="794"/>
      <c r="J50" s="794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929"/>
    </row>
    <row r="51" spans="1:17" s="229" customFormat="1" ht="23.25" customHeight="1">
      <c r="A51" s="623"/>
      <c r="B51" s="844" t="s">
        <v>48</v>
      </c>
      <c r="C51" s="939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945"/>
      <c r="L51" s="939"/>
      <c r="M51" s="939"/>
      <c r="N51" s="939"/>
      <c r="O51" s="939"/>
      <c r="P51" s="939"/>
      <c r="Q51" s="930"/>
    </row>
    <row r="52" spans="1:17" s="229" customFormat="1" ht="12.75" customHeight="1">
      <c r="A52" s="656"/>
      <c r="B52" s="944"/>
      <c r="C52" s="940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946"/>
      <c r="L52" s="940"/>
      <c r="M52" s="940"/>
      <c r="N52" s="940"/>
      <c r="O52" s="940"/>
      <c r="P52" s="940"/>
      <c r="Q52" s="942"/>
    </row>
    <row r="53" spans="1:17" s="229" customFormat="1" ht="18" customHeight="1" thickBot="1">
      <c r="A53" s="656"/>
      <c r="B53" s="944"/>
      <c r="C53" s="940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947"/>
      <c r="L53" s="941"/>
      <c r="M53" s="941"/>
      <c r="N53" s="941"/>
      <c r="O53" s="941"/>
      <c r="P53" s="941"/>
      <c r="Q53" s="942"/>
    </row>
    <row r="54" spans="1:17" s="233" customFormat="1" ht="9.75" customHeight="1">
      <c r="A54" s="616"/>
      <c r="B54" s="832" t="s">
        <v>13</v>
      </c>
      <c r="C54" s="943"/>
      <c r="D54" s="232" t="s">
        <v>11</v>
      </c>
      <c r="E54" s="932">
        <f>SUM(F54:J54)</f>
        <v>4100.3</v>
      </c>
      <c r="F54" s="932">
        <f>SUM(F56:F57)</f>
        <v>1011.5999999999999</v>
      </c>
      <c r="G54" s="932">
        <f>SUM(G56:G57)</f>
        <v>853.4</v>
      </c>
      <c r="H54" s="932">
        <f>SUM(H56:H57)</f>
        <v>736.5</v>
      </c>
      <c r="I54" s="932">
        <f>SUM(I56:I57)</f>
        <v>749.4</v>
      </c>
      <c r="J54" s="934">
        <f>SUM(J56:J57)</f>
        <v>749.4</v>
      </c>
      <c r="K54" s="936"/>
      <c r="L54" s="928"/>
      <c r="M54" s="928"/>
      <c r="N54" s="928"/>
      <c r="O54" s="928"/>
      <c r="P54" s="928"/>
      <c r="Q54" s="929"/>
    </row>
    <row r="55" spans="1:17" s="233" customFormat="1" ht="13.5" customHeight="1">
      <c r="A55" s="616"/>
      <c r="B55" s="832"/>
      <c r="C55" s="943"/>
      <c r="D55" s="234" t="s">
        <v>12</v>
      </c>
      <c r="E55" s="933"/>
      <c r="F55" s="933"/>
      <c r="G55" s="933"/>
      <c r="H55" s="933"/>
      <c r="I55" s="933"/>
      <c r="J55" s="935"/>
      <c r="K55" s="937"/>
      <c r="L55" s="616"/>
      <c r="M55" s="616"/>
      <c r="N55" s="616"/>
      <c r="O55" s="616"/>
      <c r="P55" s="616"/>
      <c r="Q55" s="930"/>
    </row>
    <row r="56" spans="1:17" s="233" customFormat="1" ht="15" customHeight="1">
      <c r="A56" s="616"/>
      <c r="B56" s="832"/>
      <c r="C56" s="943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937"/>
      <c r="L56" s="616"/>
      <c r="M56" s="616"/>
      <c r="N56" s="616"/>
      <c r="O56" s="616"/>
      <c r="P56" s="616"/>
      <c r="Q56" s="930"/>
    </row>
    <row r="57" spans="1:17" s="233" customFormat="1" ht="13.5" customHeight="1" thickBot="1">
      <c r="A57" s="616"/>
      <c r="B57" s="832"/>
      <c r="C57" s="943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938"/>
      <c r="L57" s="772"/>
      <c r="M57" s="772"/>
      <c r="N57" s="772"/>
      <c r="O57" s="772"/>
      <c r="P57" s="772"/>
      <c r="Q57" s="931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H13:H16"/>
    <mergeCell ref="I13:I16"/>
    <mergeCell ref="J13:J16"/>
    <mergeCell ref="K13:K14"/>
    <mergeCell ref="L13:L14"/>
    <mergeCell ref="M13:M14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A17:A20"/>
    <mergeCell ref="B17:B20"/>
    <mergeCell ref="C17:C20"/>
    <mergeCell ref="E17:E18"/>
    <mergeCell ref="F17:F18"/>
    <mergeCell ref="G17:G18"/>
    <mergeCell ref="H17:H18"/>
    <mergeCell ref="I17:I18"/>
    <mergeCell ref="J17:J18"/>
    <mergeCell ref="K17:K20"/>
    <mergeCell ref="L17:L20"/>
    <mergeCell ref="M17:M20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G25:G26"/>
    <mergeCell ref="H25:H26"/>
    <mergeCell ref="N27:N29"/>
    <mergeCell ref="L23:L25"/>
    <mergeCell ref="M23:M25"/>
    <mergeCell ref="N23:N25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J43:J44"/>
    <mergeCell ref="K43:K46"/>
    <mergeCell ref="L43:L46"/>
    <mergeCell ref="M43:M46"/>
    <mergeCell ref="N43:N46"/>
    <mergeCell ref="O43:O46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8" topLeftCell="A4" activePane="bottomLeft" state="split"/>
      <selection pane="topLeft" activeCell="A1" sqref="A1"/>
      <selection pane="bottomLeft" activeCell="R1" sqref="R1"/>
    </sheetView>
  </sheetViews>
  <sheetFormatPr defaultColWidth="19.7109375" defaultRowHeight="18.75" customHeight="1"/>
  <cols>
    <col min="1" max="1" width="5.2812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28125" style="1" customWidth="1"/>
    <col min="17" max="17" width="20.8515625" style="1" customWidth="1"/>
    <col min="18" max="16384" width="19.71093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683" t="s">
        <v>301</v>
      </c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59"/>
    </row>
    <row r="2" spans="1:17" ht="25.5" customHeight="1">
      <c r="A2" s="685" t="s">
        <v>202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667" t="s">
        <v>16</v>
      </c>
      <c r="B4" s="671" t="s">
        <v>15</v>
      </c>
      <c r="C4" s="667" t="s">
        <v>164</v>
      </c>
      <c r="D4" s="667" t="s">
        <v>165</v>
      </c>
      <c r="E4" s="668" t="s">
        <v>0</v>
      </c>
      <c r="F4" s="669"/>
      <c r="G4" s="669"/>
      <c r="H4" s="669"/>
      <c r="I4" s="669"/>
      <c r="J4" s="670"/>
      <c r="K4" s="668" t="s">
        <v>17</v>
      </c>
      <c r="L4" s="669"/>
      <c r="M4" s="669"/>
      <c r="N4" s="669"/>
      <c r="O4" s="669"/>
      <c r="P4" s="670"/>
      <c r="Q4" s="671" t="s">
        <v>14</v>
      </c>
    </row>
    <row r="5" spans="1:17" ht="12" customHeight="1">
      <c r="A5" s="667"/>
      <c r="B5" s="672"/>
      <c r="C5" s="667"/>
      <c r="D5" s="667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672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681" t="s">
        <v>195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</row>
    <row r="8" spans="1:18" ht="34.5" customHeight="1">
      <c r="A8" s="20" t="s">
        <v>72</v>
      </c>
      <c r="B8" s="996" t="s">
        <v>192</v>
      </c>
      <c r="C8" s="996"/>
      <c r="D8" s="996"/>
      <c r="E8" s="996"/>
      <c r="F8" s="996"/>
      <c r="G8" s="996"/>
      <c r="H8" s="996"/>
      <c r="I8" s="996"/>
      <c r="J8" s="996"/>
      <c r="K8" s="996"/>
      <c r="L8" s="996"/>
      <c r="M8" s="996"/>
      <c r="N8" s="996"/>
      <c r="O8" s="996"/>
      <c r="P8" s="996"/>
      <c r="Q8" s="996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999" t="s">
        <v>169</v>
      </c>
      <c r="B10" s="1003" t="s">
        <v>168</v>
      </c>
      <c r="C10" s="843" t="s">
        <v>175</v>
      </c>
      <c r="D10" s="732" t="s">
        <v>180</v>
      </c>
      <c r="E10" s="708">
        <v>80</v>
      </c>
      <c r="F10" s="708">
        <v>16</v>
      </c>
      <c r="G10" s="708">
        <v>16</v>
      </c>
      <c r="H10" s="708">
        <v>16</v>
      </c>
      <c r="I10" s="708">
        <v>16</v>
      </c>
      <c r="J10" s="708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612" t="s">
        <v>172</v>
      </c>
      <c r="R10" s="1" t="s">
        <v>299</v>
      </c>
    </row>
    <row r="11" spans="1:17" ht="36" customHeight="1">
      <c r="A11" s="1001"/>
      <c r="B11" s="1004"/>
      <c r="C11" s="843"/>
      <c r="D11" s="678"/>
      <c r="E11" s="709"/>
      <c r="F11" s="709"/>
      <c r="G11" s="709"/>
      <c r="H11" s="709"/>
      <c r="I11" s="709"/>
      <c r="J11" s="709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618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648" t="s">
        <v>40</v>
      </c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50"/>
    </row>
    <row r="15" spans="1:18" ht="10.5" customHeight="1">
      <c r="A15" s="999" t="s">
        <v>26</v>
      </c>
      <c r="B15" s="630" t="s">
        <v>184</v>
      </c>
      <c r="C15" s="677" t="s">
        <v>177</v>
      </c>
      <c r="D15" s="912" t="s">
        <v>179</v>
      </c>
      <c r="E15" s="708">
        <v>35</v>
      </c>
      <c r="F15" s="708">
        <v>7</v>
      </c>
      <c r="G15" s="708">
        <v>7</v>
      </c>
      <c r="H15" s="708">
        <v>7</v>
      </c>
      <c r="I15" s="708">
        <v>7</v>
      </c>
      <c r="J15" s="708">
        <v>7</v>
      </c>
      <c r="K15" s="630" t="s">
        <v>183</v>
      </c>
      <c r="L15" s="892">
        <v>4</v>
      </c>
      <c r="M15" s="892">
        <v>5</v>
      </c>
      <c r="N15" s="892">
        <v>6</v>
      </c>
      <c r="O15" s="892">
        <v>7</v>
      </c>
      <c r="P15" s="892">
        <v>8</v>
      </c>
      <c r="Q15" s="612" t="s">
        <v>182</v>
      </c>
      <c r="R15" s="1" t="s">
        <v>298</v>
      </c>
    </row>
    <row r="16" spans="1:17" ht="16.5" customHeight="1">
      <c r="A16" s="1000"/>
      <c r="B16" s="631"/>
      <c r="C16" s="643"/>
      <c r="D16" s="913"/>
      <c r="E16" s="711"/>
      <c r="F16" s="711"/>
      <c r="G16" s="711"/>
      <c r="H16" s="711"/>
      <c r="I16" s="711"/>
      <c r="J16" s="711"/>
      <c r="K16" s="631"/>
      <c r="L16" s="893"/>
      <c r="M16" s="893"/>
      <c r="N16" s="893"/>
      <c r="O16" s="893"/>
      <c r="P16" s="893"/>
      <c r="Q16" s="617"/>
    </row>
    <row r="17" spans="1:17" ht="11.25" customHeight="1">
      <c r="A17" s="1000"/>
      <c r="B17" s="631"/>
      <c r="C17" s="643"/>
      <c r="D17" s="913"/>
      <c r="E17" s="711"/>
      <c r="F17" s="711"/>
      <c r="G17" s="711"/>
      <c r="H17" s="711"/>
      <c r="I17" s="711"/>
      <c r="J17" s="711"/>
      <c r="K17" s="1002"/>
      <c r="L17" s="894"/>
      <c r="M17" s="894"/>
      <c r="N17" s="894"/>
      <c r="O17" s="894"/>
      <c r="P17" s="894"/>
      <c r="Q17" s="617"/>
    </row>
    <row r="18" spans="1:17" ht="40.5">
      <c r="A18" s="1001"/>
      <c r="B18" s="1002"/>
      <c r="C18" s="644"/>
      <c r="D18" s="927"/>
      <c r="E18" s="709"/>
      <c r="F18" s="709"/>
      <c r="G18" s="709"/>
      <c r="H18" s="709"/>
      <c r="I18" s="709"/>
      <c r="J18" s="709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618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679"/>
      <c r="B20" s="681" t="s">
        <v>197</v>
      </c>
      <c r="C20" s="717"/>
      <c r="D20" s="997"/>
      <c r="E20" s="994">
        <f>SUM(F20:J21)</f>
        <v>73</v>
      </c>
      <c r="F20" s="994">
        <f>SUM(F15:F19)</f>
        <v>25</v>
      </c>
      <c r="G20" s="994">
        <v>12</v>
      </c>
      <c r="H20" s="992">
        <v>12</v>
      </c>
      <c r="I20" s="992">
        <v>12</v>
      </c>
      <c r="J20" s="992">
        <v>12</v>
      </c>
      <c r="K20" s="902"/>
      <c r="L20" s="679"/>
      <c r="M20" s="679"/>
      <c r="N20" s="679"/>
      <c r="O20" s="679"/>
      <c r="P20" s="679"/>
      <c r="Q20" s="679"/>
    </row>
    <row r="21" spans="1:17" ht="8.25" customHeight="1" thickBot="1">
      <c r="A21" s="679"/>
      <c r="B21" s="681"/>
      <c r="C21" s="717"/>
      <c r="D21" s="998"/>
      <c r="E21" s="995"/>
      <c r="F21" s="995"/>
      <c r="G21" s="995"/>
      <c r="H21" s="993"/>
      <c r="I21" s="993"/>
      <c r="J21" s="993"/>
      <c r="K21" s="902"/>
      <c r="L21" s="679"/>
      <c r="M21" s="679"/>
      <c r="N21" s="679"/>
      <c r="O21" s="679"/>
      <c r="P21" s="679"/>
      <c r="Q21" s="679"/>
    </row>
    <row r="22" spans="1:17" ht="15" customHeight="1">
      <c r="A22" s="717"/>
      <c r="B22" s="982" t="s">
        <v>196</v>
      </c>
      <c r="C22" s="984"/>
      <c r="D22" s="18" t="s">
        <v>11</v>
      </c>
      <c r="E22" s="986">
        <f>SUM(F22:J23)</f>
        <v>343</v>
      </c>
      <c r="F22" s="988">
        <v>75</v>
      </c>
      <c r="G22" s="986">
        <v>67</v>
      </c>
      <c r="H22" s="990">
        <v>67</v>
      </c>
      <c r="I22" s="990">
        <v>67</v>
      </c>
      <c r="J22" s="990">
        <v>67</v>
      </c>
      <c r="K22" s="902"/>
      <c r="L22" s="679"/>
      <c r="M22" s="679"/>
      <c r="N22" s="679"/>
      <c r="O22" s="679"/>
      <c r="P22" s="679"/>
      <c r="Q22" s="679"/>
    </row>
    <row r="23" spans="1:17" ht="21.75" customHeight="1" thickBot="1">
      <c r="A23" s="717"/>
      <c r="B23" s="983"/>
      <c r="C23" s="985"/>
      <c r="D23" s="19" t="s">
        <v>75</v>
      </c>
      <c r="E23" s="987"/>
      <c r="F23" s="989"/>
      <c r="G23" s="987"/>
      <c r="H23" s="991"/>
      <c r="I23" s="991"/>
      <c r="J23" s="991"/>
      <c r="K23" s="902"/>
      <c r="L23" s="679"/>
      <c r="M23" s="679"/>
      <c r="N23" s="679"/>
      <c r="O23" s="679"/>
      <c r="P23" s="679"/>
      <c r="Q23" s="679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I10:I11"/>
    <mergeCell ref="J10:J11"/>
    <mergeCell ref="Q10:Q11"/>
    <mergeCell ref="B10:B11"/>
    <mergeCell ref="C10:C11"/>
    <mergeCell ref="D10:D11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A20:A21"/>
    <mergeCell ref="B20:B21"/>
    <mergeCell ref="C20:C21"/>
    <mergeCell ref="E20:E21"/>
    <mergeCell ref="F20:F21"/>
    <mergeCell ref="E15:E18"/>
    <mergeCell ref="D15:D18"/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4"/>
  <sheetViews>
    <sheetView tabSelected="1" zoomScale="85" zoomScaleNormal="85" zoomScaleSheetLayoutView="100" workbookViewId="0" topLeftCell="A1">
      <pane ySplit="7" topLeftCell="A8" activePane="bottomLeft" state="frozen"/>
      <selection pane="topLeft" activeCell="R2" sqref="R2"/>
      <selection pane="bottomLeft" activeCell="H13" sqref="H13"/>
    </sheetView>
  </sheetViews>
  <sheetFormatPr defaultColWidth="19.7109375" defaultRowHeight="18.75" customHeight="1"/>
  <cols>
    <col min="1" max="1" width="4.421875" style="358" customWidth="1"/>
    <col min="2" max="2" width="21.7109375" style="357" customWidth="1"/>
    <col min="3" max="3" width="6.00390625" style="435" customWidth="1"/>
    <col min="4" max="4" width="11.7109375" style="3" customWidth="1"/>
    <col min="5" max="5" width="8.00390625" style="3" customWidth="1"/>
    <col min="6" max="6" width="7.28125" style="3" customWidth="1"/>
    <col min="7" max="7" width="7.421875" style="3" customWidth="1"/>
    <col min="8" max="10" width="7.8515625" style="3" customWidth="1"/>
    <col min="11" max="11" width="46.140625" style="1" customWidth="1"/>
    <col min="12" max="16" width="5.140625" style="1" customWidth="1"/>
    <col min="17" max="17" width="17.8515625" style="1" customWidth="1"/>
    <col min="18" max="16384" width="19.7109375" style="1" customWidth="1"/>
  </cols>
  <sheetData>
    <row r="1" spans="8:17" ht="37.5" customHeight="1">
      <c r="H1" s="1"/>
      <c r="I1" s="434"/>
      <c r="J1" s="434"/>
      <c r="K1" s="1027" t="s">
        <v>441</v>
      </c>
      <c r="L1" s="1027"/>
      <c r="M1" s="1027"/>
      <c r="N1" s="1027"/>
      <c r="O1" s="1027"/>
      <c r="P1" s="1027"/>
      <c r="Q1" s="1027"/>
    </row>
    <row r="2" spans="8:17" ht="30.75" customHeight="1">
      <c r="H2" s="433"/>
      <c r="I2" s="433"/>
      <c r="J2" s="433"/>
      <c r="K2" s="1009" t="s">
        <v>409</v>
      </c>
      <c r="L2" s="1009"/>
      <c r="M2" s="1009"/>
      <c r="N2" s="1009"/>
      <c r="O2" s="1009"/>
      <c r="P2" s="1009"/>
      <c r="Q2" s="1009"/>
    </row>
    <row r="3" spans="1:17" ht="42.75" customHeight="1">
      <c r="A3" s="1034" t="s">
        <v>484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</row>
    <row r="4" ht="11.25" customHeight="1">
      <c r="Q4" s="12"/>
    </row>
    <row r="5" spans="1:17" s="42" customFormat="1" ht="40.5" customHeight="1">
      <c r="A5" s="667" t="s">
        <v>16</v>
      </c>
      <c r="B5" s="671" t="s">
        <v>15</v>
      </c>
      <c r="C5" s="667" t="s">
        <v>8</v>
      </c>
      <c r="D5" s="667" t="s">
        <v>9</v>
      </c>
      <c r="E5" s="668" t="s">
        <v>410</v>
      </c>
      <c r="F5" s="669"/>
      <c r="G5" s="669"/>
      <c r="H5" s="669"/>
      <c r="I5" s="669"/>
      <c r="J5" s="670"/>
      <c r="K5" s="668" t="s">
        <v>17</v>
      </c>
      <c r="L5" s="669"/>
      <c r="M5" s="669"/>
      <c r="N5" s="669"/>
      <c r="O5" s="669"/>
      <c r="P5" s="670"/>
      <c r="Q5" s="671" t="s">
        <v>14</v>
      </c>
    </row>
    <row r="6" spans="1:17" ht="12.75" customHeight="1">
      <c r="A6" s="667"/>
      <c r="B6" s="672"/>
      <c r="C6" s="667"/>
      <c r="D6" s="667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672"/>
    </row>
    <row r="7" spans="1:17" ht="10.5" customHeight="1">
      <c r="A7" s="333">
        <v>1</v>
      </c>
      <c r="B7" s="333">
        <v>2</v>
      </c>
      <c r="C7" s="333">
        <v>3</v>
      </c>
      <c r="D7" s="333">
        <v>4</v>
      </c>
      <c r="E7" s="333">
        <v>5</v>
      </c>
      <c r="F7" s="333">
        <v>6</v>
      </c>
      <c r="G7" s="333">
        <v>7</v>
      </c>
      <c r="H7" s="333">
        <v>8</v>
      </c>
      <c r="I7" s="333">
        <v>9</v>
      </c>
      <c r="J7" s="333">
        <v>10</v>
      </c>
      <c r="K7" s="333">
        <v>11</v>
      </c>
      <c r="L7" s="333">
        <v>12</v>
      </c>
      <c r="M7" s="333">
        <v>13</v>
      </c>
      <c r="N7" s="333">
        <v>14</v>
      </c>
      <c r="O7" s="333">
        <v>15</v>
      </c>
      <c r="P7" s="333">
        <v>16</v>
      </c>
      <c r="Q7" s="333">
        <v>17</v>
      </c>
    </row>
    <row r="8" spans="1:17" ht="13.5" customHeight="1">
      <c r="A8" s="334"/>
      <c r="B8" s="753" t="s">
        <v>310</v>
      </c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</row>
    <row r="9" spans="1:17" ht="27.75" customHeight="1">
      <c r="A9" s="33" t="s">
        <v>72</v>
      </c>
      <c r="B9" s="1010" t="s">
        <v>480</v>
      </c>
      <c r="C9" s="1010"/>
      <c r="D9" s="1011"/>
      <c r="E9" s="1011"/>
      <c r="F9" s="1011"/>
      <c r="G9" s="1011"/>
      <c r="H9" s="1011"/>
      <c r="I9" s="1011"/>
      <c r="J9" s="1011"/>
      <c r="K9" s="1010"/>
      <c r="L9" s="1010"/>
      <c r="M9" s="1010"/>
      <c r="N9" s="1010"/>
      <c r="O9" s="1010"/>
      <c r="P9" s="1010"/>
      <c r="Q9" s="1012"/>
    </row>
    <row r="10" spans="1:17" ht="26.25" customHeight="1">
      <c r="A10" s="1032" t="s">
        <v>10</v>
      </c>
      <c r="B10" s="1033" t="s">
        <v>411</v>
      </c>
      <c r="C10" s="1024" t="s">
        <v>162</v>
      </c>
      <c r="D10" s="1167" t="s">
        <v>486</v>
      </c>
      <c r="E10" s="576">
        <f>F10+G10+H10+I10+J10</f>
        <v>43265.95</v>
      </c>
      <c r="F10" s="577">
        <v>6856.34</v>
      </c>
      <c r="G10" s="576">
        <v>8640.8</v>
      </c>
      <c r="H10" s="576">
        <v>9256.27</v>
      </c>
      <c r="I10" s="576">
        <v>9256.27</v>
      </c>
      <c r="J10" s="1176">
        <v>9256.27</v>
      </c>
      <c r="K10" s="1168" t="s">
        <v>421</v>
      </c>
      <c r="L10" s="555">
        <v>94</v>
      </c>
      <c r="M10" s="555">
        <v>95</v>
      </c>
      <c r="N10" s="555">
        <v>95</v>
      </c>
      <c r="O10" s="555">
        <v>95</v>
      </c>
      <c r="P10" s="555">
        <v>95</v>
      </c>
      <c r="Q10" s="677" t="s">
        <v>485</v>
      </c>
    </row>
    <row r="11" spans="1:17" ht="16.5" customHeight="1">
      <c r="A11" s="1028"/>
      <c r="B11" s="1031"/>
      <c r="C11" s="1024"/>
      <c r="D11" s="574" t="s">
        <v>5</v>
      </c>
      <c r="E11" s="578">
        <f>F11+G11+H11+I11+J11</f>
        <v>43265.95</v>
      </c>
      <c r="F11" s="1179">
        <v>6856.34</v>
      </c>
      <c r="G11" s="578">
        <v>8640.8</v>
      </c>
      <c r="H11" s="578">
        <v>9256.27</v>
      </c>
      <c r="I11" s="578">
        <v>9256.27</v>
      </c>
      <c r="J11" s="1177">
        <v>9256.27</v>
      </c>
      <c r="K11" s="1168" t="s">
        <v>419</v>
      </c>
      <c r="L11" s="555">
        <v>100</v>
      </c>
      <c r="M11" s="555">
        <v>100</v>
      </c>
      <c r="N11" s="555">
        <v>100</v>
      </c>
      <c r="O11" s="555">
        <v>100</v>
      </c>
      <c r="P11" s="555">
        <v>100</v>
      </c>
      <c r="Q11" s="643"/>
    </row>
    <row r="12" spans="1:17" ht="24.75" customHeight="1">
      <c r="A12" s="1028"/>
      <c r="B12" s="1031"/>
      <c r="C12" s="1024"/>
      <c r="D12" s="1169" t="s">
        <v>6</v>
      </c>
      <c r="E12" s="578">
        <v>0</v>
      </c>
      <c r="F12" s="578">
        <v>0</v>
      </c>
      <c r="G12" s="578">
        <v>0</v>
      </c>
      <c r="H12" s="578">
        <v>0</v>
      </c>
      <c r="I12" s="578">
        <v>0</v>
      </c>
      <c r="J12" s="1177">
        <v>0</v>
      </c>
      <c r="K12" s="1174" t="s">
        <v>420</v>
      </c>
      <c r="L12" s="24">
        <v>100</v>
      </c>
      <c r="M12" s="24">
        <v>100</v>
      </c>
      <c r="N12" s="24">
        <v>100</v>
      </c>
      <c r="O12" s="24">
        <v>100</v>
      </c>
      <c r="P12" s="24">
        <v>100</v>
      </c>
      <c r="Q12" s="643"/>
    </row>
    <row r="13" spans="1:17" ht="25.5" customHeight="1">
      <c r="A13" s="1028"/>
      <c r="B13" s="1031"/>
      <c r="C13" s="1024"/>
      <c r="D13" s="1170"/>
      <c r="E13" s="438"/>
      <c r="F13" s="438"/>
      <c r="G13" s="438"/>
      <c r="H13" s="441"/>
      <c r="I13" s="438"/>
      <c r="J13" s="440"/>
      <c r="K13" s="1174" t="s">
        <v>417</v>
      </c>
      <c r="L13" s="24">
        <v>90</v>
      </c>
      <c r="M13" s="24">
        <v>95</v>
      </c>
      <c r="N13" s="24">
        <v>100</v>
      </c>
      <c r="O13" s="24">
        <v>100</v>
      </c>
      <c r="P13" s="24">
        <v>100</v>
      </c>
      <c r="Q13" s="643"/>
    </row>
    <row r="14" spans="1:17" ht="24.75" customHeight="1" hidden="1">
      <c r="A14" s="436"/>
      <c r="B14" s="437"/>
      <c r="C14" s="351"/>
      <c r="D14" s="1171"/>
      <c r="E14" s="575"/>
      <c r="F14" s="575"/>
      <c r="G14" s="575"/>
      <c r="H14" s="575"/>
      <c r="I14" s="575"/>
      <c r="J14" s="575"/>
      <c r="L14" s="579"/>
      <c r="M14" s="579"/>
      <c r="N14" s="579"/>
      <c r="O14" s="579"/>
      <c r="P14" s="579"/>
      <c r="Q14" s="643"/>
    </row>
    <row r="15" spans="1:17" ht="48.75" customHeight="1" hidden="1">
      <c r="A15" s="436"/>
      <c r="B15" s="437"/>
      <c r="C15" s="351"/>
      <c r="D15" s="1171"/>
      <c r="E15" s="575"/>
      <c r="F15" s="575"/>
      <c r="G15" s="575"/>
      <c r="H15" s="575"/>
      <c r="I15" s="575"/>
      <c r="J15" s="575"/>
      <c r="L15" s="579"/>
      <c r="M15" s="579"/>
      <c r="N15" s="579"/>
      <c r="O15" s="579"/>
      <c r="P15" s="579"/>
      <c r="Q15" s="643"/>
    </row>
    <row r="16" spans="1:17" ht="24" customHeight="1" hidden="1">
      <c r="A16" s="436"/>
      <c r="B16" s="437"/>
      <c r="C16" s="351"/>
      <c r="D16" s="1171"/>
      <c r="E16" s="575"/>
      <c r="F16" s="575"/>
      <c r="G16" s="575"/>
      <c r="H16" s="575"/>
      <c r="I16" s="575"/>
      <c r="J16" s="575"/>
      <c r="K16" s="1175" t="s">
        <v>416</v>
      </c>
      <c r="L16" s="455">
        <v>1</v>
      </c>
      <c r="M16" s="455">
        <v>1</v>
      </c>
      <c r="N16" s="455">
        <v>1</v>
      </c>
      <c r="O16" s="455">
        <v>1</v>
      </c>
      <c r="P16" s="455">
        <v>1</v>
      </c>
      <c r="Q16" s="643"/>
    </row>
    <row r="17" spans="1:17" ht="28.5" customHeight="1">
      <c r="A17" s="1028"/>
      <c r="B17" s="1031"/>
      <c r="C17" s="643"/>
      <c r="D17" s="1172"/>
      <c r="E17" s="1030"/>
      <c r="F17" s="1030"/>
      <c r="G17" s="1030"/>
      <c r="H17" s="1030"/>
      <c r="I17" s="1030"/>
      <c r="J17" s="1030"/>
      <c r="K17" s="1174" t="s">
        <v>415</v>
      </c>
      <c r="L17" s="24">
        <v>100</v>
      </c>
      <c r="M17" s="24">
        <v>100</v>
      </c>
      <c r="N17" s="24">
        <v>100</v>
      </c>
      <c r="O17" s="24">
        <v>100</v>
      </c>
      <c r="P17" s="24">
        <v>100</v>
      </c>
      <c r="Q17" s="643"/>
    </row>
    <row r="18" spans="1:17" ht="37.5" customHeight="1">
      <c r="A18" s="1028"/>
      <c r="B18" s="1031"/>
      <c r="C18" s="643"/>
      <c r="D18" s="1172"/>
      <c r="E18" s="1030"/>
      <c r="F18" s="1030"/>
      <c r="G18" s="1030"/>
      <c r="H18" s="1030"/>
      <c r="I18" s="1030"/>
      <c r="J18" s="1030"/>
      <c r="K18" s="1174" t="s">
        <v>414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643"/>
    </row>
    <row r="19" spans="1:17" ht="37.5" customHeight="1">
      <c r="A19" s="1028"/>
      <c r="B19" s="1031"/>
      <c r="C19" s="643"/>
      <c r="D19" s="1172"/>
      <c r="E19" s="1030"/>
      <c r="F19" s="1030"/>
      <c r="G19" s="1030"/>
      <c r="H19" s="1030"/>
      <c r="I19" s="1030"/>
      <c r="J19" s="1030"/>
      <c r="K19" s="1175" t="s">
        <v>413</v>
      </c>
      <c r="L19" s="455">
        <v>95</v>
      </c>
      <c r="M19" s="455">
        <v>95</v>
      </c>
      <c r="N19" s="455">
        <v>95</v>
      </c>
      <c r="O19" s="455">
        <v>95</v>
      </c>
      <c r="P19" s="455">
        <v>95</v>
      </c>
      <c r="Q19" s="643"/>
    </row>
    <row r="20" spans="1:17" ht="24.75" customHeight="1">
      <c r="A20" s="1028"/>
      <c r="B20" s="1031"/>
      <c r="C20" s="643"/>
      <c r="D20" s="1172"/>
      <c r="E20" s="1030"/>
      <c r="F20" s="1030"/>
      <c r="G20" s="1030"/>
      <c r="H20" s="1030"/>
      <c r="I20" s="1030"/>
      <c r="J20" s="1030"/>
      <c r="K20" s="1175" t="s">
        <v>412</v>
      </c>
      <c r="L20" s="455">
        <v>95</v>
      </c>
      <c r="M20" s="455">
        <v>95</v>
      </c>
      <c r="N20" s="455">
        <v>100</v>
      </c>
      <c r="O20" s="455">
        <v>100</v>
      </c>
      <c r="P20" s="455">
        <v>100</v>
      </c>
      <c r="Q20" s="643"/>
    </row>
    <row r="21" spans="1:17" ht="36" customHeight="1" thickBot="1">
      <c r="A21" s="1028"/>
      <c r="B21" s="1029"/>
      <c r="C21" s="643"/>
      <c r="D21" s="1173"/>
      <c r="E21" s="1178"/>
      <c r="F21" s="1178"/>
      <c r="G21" s="1178"/>
      <c r="H21" s="1178"/>
      <c r="I21" s="1178"/>
      <c r="J21" s="1178"/>
      <c r="K21" s="1175" t="s">
        <v>309</v>
      </c>
      <c r="L21" s="360">
        <v>3</v>
      </c>
      <c r="M21" s="360">
        <v>4</v>
      </c>
      <c r="N21" s="360">
        <v>5</v>
      </c>
      <c r="O21" s="360">
        <v>5</v>
      </c>
      <c r="P21" s="360">
        <v>5</v>
      </c>
      <c r="Q21" s="643"/>
    </row>
    <row r="22" spans="1:17" ht="37.5" customHeight="1" hidden="1" thickBot="1">
      <c r="A22" s="1028"/>
      <c r="B22" s="1029"/>
      <c r="C22" s="643"/>
      <c r="D22" s="436"/>
      <c r="E22" s="443"/>
      <c r="F22" s="443"/>
      <c r="G22" s="443"/>
      <c r="H22" s="443"/>
      <c r="I22" s="443"/>
      <c r="J22" s="443"/>
      <c r="Q22" s="643"/>
    </row>
    <row r="23" spans="1:17" ht="47.25" customHeight="1" hidden="1">
      <c r="A23" s="1028"/>
      <c r="B23" s="1029"/>
      <c r="C23" s="643"/>
      <c r="D23" s="362"/>
      <c r="E23" s="361"/>
      <c r="F23" s="361"/>
      <c r="G23" s="361"/>
      <c r="H23" s="361"/>
      <c r="I23" s="361"/>
      <c r="J23" s="361"/>
      <c r="Q23" s="643"/>
    </row>
    <row r="24" spans="1:17" ht="46.5" customHeight="1" hidden="1" thickBot="1">
      <c r="A24" s="1028"/>
      <c r="B24" s="1029"/>
      <c r="C24" s="643"/>
      <c r="D24" s="362"/>
      <c r="E24" s="361"/>
      <c r="F24" s="361"/>
      <c r="G24" s="361"/>
      <c r="H24" s="361"/>
      <c r="I24" s="361"/>
      <c r="J24" s="361"/>
      <c r="Q24" s="643"/>
    </row>
    <row r="25" spans="1:17" s="359" customFormat="1" ht="13.5" customHeight="1">
      <c r="A25" s="912"/>
      <c r="B25" s="1021" t="s">
        <v>488</v>
      </c>
      <c r="C25" s="1023"/>
      <c r="D25" s="1017" t="s">
        <v>487</v>
      </c>
      <c r="E25" s="1013">
        <f>SUM(F25:J26)</f>
        <v>43265.95</v>
      </c>
      <c r="F25" s="1013">
        <f>F10</f>
        <v>6856.34</v>
      </c>
      <c r="G25" s="1013">
        <f>G10</f>
        <v>8640.8</v>
      </c>
      <c r="H25" s="1013">
        <f>H10</f>
        <v>9256.27</v>
      </c>
      <c r="I25" s="1013">
        <f>I10</f>
        <v>9256.27</v>
      </c>
      <c r="J25" s="1015">
        <f>J10</f>
        <v>9256.27</v>
      </c>
      <c r="K25" s="1005"/>
      <c r="L25" s="1005"/>
      <c r="M25" s="1005"/>
      <c r="N25" s="1005"/>
      <c r="O25" s="1005"/>
      <c r="P25" s="1005"/>
      <c r="Q25" s="1005"/>
    </row>
    <row r="26" spans="1:17" s="359" customFormat="1" ht="15.75" customHeight="1" thickBot="1">
      <c r="A26" s="913"/>
      <c r="B26" s="1022"/>
      <c r="C26" s="1024"/>
      <c r="D26" s="1018"/>
      <c r="E26" s="1014"/>
      <c r="F26" s="1014"/>
      <c r="G26" s="1014"/>
      <c r="H26" s="1014"/>
      <c r="I26" s="1014"/>
      <c r="J26" s="1016"/>
      <c r="K26" s="1006"/>
      <c r="L26" s="1006"/>
      <c r="M26" s="1006"/>
      <c r="N26" s="1006"/>
      <c r="O26" s="1006"/>
      <c r="P26" s="1006"/>
      <c r="Q26" s="1006"/>
    </row>
    <row r="27" spans="1:17" ht="15.75" customHeight="1" hidden="1">
      <c r="A27" s="1019"/>
      <c r="B27" s="745"/>
      <c r="C27" s="1025"/>
      <c r="D27" s="444" t="s">
        <v>418</v>
      </c>
      <c r="E27" s="580"/>
      <c r="F27" s="580"/>
      <c r="G27" s="580"/>
      <c r="H27" s="580"/>
      <c r="I27" s="580"/>
      <c r="J27" s="580"/>
      <c r="K27" s="1007"/>
      <c r="L27" s="1007"/>
      <c r="M27" s="1007"/>
      <c r="N27" s="1007"/>
      <c r="O27" s="1007"/>
      <c r="P27" s="1007"/>
      <c r="Q27" s="1007"/>
    </row>
    <row r="28" spans="1:17" ht="15.75" customHeight="1" hidden="1">
      <c r="A28" s="1019"/>
      <c r="B28" s="745"/>
      <c r="C28" s="1025"/>
      <c r="D28" s="444" t="s">
        <v>418</v>
      </c>
      <c r="E28" s="581"/>
      <c r="F28" s="581"/>
      <c r="G28" s="582"/>
      <c r="H28" s="582"/>
      <c r="I28" s="582"/>
      <c r="J28" s="582"/>
      <c r="K28" s="1007"/>
      <c r="L28" s="1007"/>
      <c r="M28" s="1007"/>
      <c r="N28" s="1007"/>
      <c r="O28" s="1007"/>
      <c r="P28" s="1007"/>
      <c r="Q28" s="1007"/>
    </row>
    <row r="29" spans="1:17" ht="18" customHeight="1" hidden="1">
      <c r="A29" s="1019"/>
      <c r="B29" s="745"/>
      <c r="C29" s="1025"/>
      <c r="D29" s="444" t="s">
        <v>418</v>
      </c>
      <c r="E29" s="581"/>
      <c r="F29" s="581"/>
      <c r="G29" s="581"/>
      <c r="H29" s="581"/>
      <c r="I29" s="581"/>
      <c r="J29" s="581"/>
      <c r="K29" s="1007"/>
      <c r="L29" s="1007"/>
      <c r="M29" s="1007"/>
      <c r="N29" s="1007"/>
      <c r="O29" s="1007"/>
      <c r="P29" s="1007"/>
      <c r="Q29" s="1007"/>
    </row>
    <row r="30" spans="1:17" ht="27.75" customHeight="1" hidden="1">
      <c r="A30" s="1019"/>
      <c r="B30" s="745"/>
      <c r="C30" s="1025"/>
      <c r="D30" s="444" t="s">
        <v>418</v>
      </c>
      <c r="E30" s="581"/>
      <c r="F30" s="581"/>
      <c r="G30" s="581"/>
      <c r="H30" s="581"/>
      <c r="I30" s="581"/>
      <c r="J30" s="581"/>
      <c r="K30" s="1007"/>
      <c r="L30" s="1007"/>
      <c r="M30" s="1007"/>
      <c r="N30" s="1007"/>
      <c r="O30" s="1007"/>
      <c r="P30" s="1007"/>
      <c r="Q30" s="1007"/>
    </row>
    <row r="31" spans="1:17" ht="18" customHeight="1" hidden="1">
      <c r="A31" s="1019"/>
      <c r="B31" s="745"/>
      <c r="C31" s="1025"/>
      <c r="D31" s="444" t="s">
        <v>418</v>
      </c>
      <c r="E31" s="581"/>
      <c r="F31" s="581"/>
      <c r="G31" s="581"/>
      <c r="H31" s="581"/>
      <c r="I31" s="581"/>
      <c r="J31" s="581"/>
      <c r="K31" s="1007"/>
      <c r="L31" s="1007"/>
      <c r="M31" s="1007"/>
      <c r="N31" s="1007"/>
      <c r="O31" s="1007"/>
      <c r="P31" s="1007"/>
      <c r="Q31" s="1007"/>
    </row>
    <row r="32" spans="1:17" ht="21.75" customHeight="1" hidden="1">
      <c r="A32" s="1019"/>
      <c r="B32" s="745"/>
      <c r="C32" s="1025"/>
      <c r="D32" s="444" t="s">
        <v>418</v>
      </c>
      <c r="E32" s="581"/>
      <c r="F32" s="581"/>
      <c r="G32" s="581"/>
      <c r="H32" s="581"/>
      <c r="I32" s="581"/>
      <c r="J32" s="581"/>
      <c r="K32" s="1007"/>
      <c r="L32" s="1007"/>
      <c r="M32" s="1007"/>
      <c r="N32" s="1007"/>
      <c r="O32" s="1007"/>
      <c r="P32" s="1007"/>
      <c r="Q32" s="1007"/>
    </row>
    <row r="33" spans="1:17" ht="21.75" customHeight="1">
      <c r="A33" s="1019"/>
      <c r="B33" s="745"/>
      <c r="C33" s="1025"/>
      <c r="D33" s="475" t="s">
        <v>5</v>
      </c>
      <c r="E33" s="583">
        <f>F33+G33+H33+I33+J33</f>
        <v>43265.95</v>
      </c>
      <c r="F33" s="583">
        <v>6856.34</v>
      </c>
      <c r="G33" s="583">
        <v>8640.8</v>
      </c>
      <c r="H33" s="583">
        <v>9256.27</v>
      </c>
      <c r="I33" s="583">
        <v>9256.27</v>
      </c>
      <c r="J33" s="583">
        <v>9256.27</v>
      </c>
      <c r="K33" s="1007"/>
      <c r="L33" s="1007"/>
      <c r="M33" s="1007"/>
      <c r="N33" s="1007"/>
      <c r="O33" s="1007"/>
      <c r="P33" s="1007"/>
      <c r="Q33" s="1007"/>
    </row>
    <row r="34" spans="1:17" ht="18.75" customHeight="1">
      <c r="A34" s="1020"/>
      <c r="B34" s="737"/>
      <c r="C34" s="1026"/>
      <c r="D34" s="493" t="s">
        <v>6</v>
      </c>
      <c r="E34" s="583">
        <v>0</v>
      </c>
      <c r="F34" s="583">
        <v>0</v>
      </c>
      <c r="G34" s="583">
        <v>0</v>
      </c>
      <c r="H34" s="583">
        <v>0</v>
      </c>
      <c r="I34" s="583">
        <v>0</v>
      </c>
      <c r="J34" s="583">
        <v>0</v>
      </c>
      <c r="K34" s="1008"/>
      <c r="L34" s="1008"/>
      <c r="M34" s="1008"/>
      <c r="N34" s="1008"/>
      <c r="O34" s="1008"/>
      <c r="P34" s="1008"/>
      <c r="Q34" s="1008"/>
    </row>
  </sheetData>
  <sheetProtection/>
  <mergeCells count="49">
    <mergeCell ref="Q5:Q6"/>
    <mergeCell ref="A10:A13"/>
    <mergeCell ref="B10:B13"/>
    <mergeCell ref="C10:C13"/>
    <mergeCell ref="A3:Q3"/>
    <mergeCell ref="A5:A6"/>
    <mergeCell ref="B5:B6"/>
    <mergeCell ref="C5:C6"/>
    <mergeCell ref="D5:D6"/>
    <mergeCell ref="E5:J5"/>
    <mergeCell ref="K5:P5"/>
    <mergeCell ref="A17:A20"/>
    <mergeCell ref="B17:B20"/>
    <mergeCell ref="C17:C20"/>
    <mergeCell ref="D17:D20"/>
    <mergeCell ref="E17:E20"/>
    <mergeCell ref="F17:F20"/>
    <mergeCell ref="K1:Q1"/>
    <mergeCell ref="A21:A24"/>
    <mergeCell ref="B21:B24"/>
    <mergeCell ref="C21:C24"/>
    <mergeCell ref="Q21:Q24"/>
    <mergeCell ref="G17:G20"/>
    <mergeCell ref="H17:H20"/>
    <mergeCell ref="I17:I20"/>
    <mergeCell ref="J17:J20"/>
    <mergeCell ref="D25:D26"/>
    <mergeCell ref="E25:E26"/>
    <mergeCell ref="F25:F26"/>
    <mergeCell ref="A25:A34"/>
    <mergeCell ref="B25:B34"/>
    <mergeCell ref="C25:C34"/>
    <mergeCell ref="G25:G26"/>
    <mergeCell ref="H25:H26"/>
    <mergeCell ref="I25:I26"/>
    <mergeCell ref="J25:J26"/>
    <mergeCell ref="K25:K34"/>
    <mergeCell ref="L25:L34"/>
    <mergeCell ref="M25:M34"/>
    <mergeCell ref="N25:N34"/>
    <mergeCell ref="O25:O34"/>
    <mergeCell ref="P25:P34"/>
    <mergeCell ref="Q25:Q34"/>
    <mergeCell ref="K2:Q2"/>
    <mergeCell ref="Q10:Q16"/>
    <mergeCell ref="Q17:Q20"/>
    <mergeCell ref="B8:Q8"/>
    <mergeCell ref="B9:Q9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2016-03-25T06:26:58Z</dcterms:modified>
  <cp:category/>
  <cp:version/>
  <cp:contentType/>
  <cp:contentStatus/>
</cp:coreProperties>
</file>